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autoCompressPictures="0"/>
  <mc:AlternateContent xmlns:mc="http://schemas.openxmlformats.org/markup-compatibility/2006">
    <mc:Choice Requires="x15">
      <x15ac:absPath xmlns:x15ac="http://schemas.microsoft.com/office/spreadsheetml/2010/11/ac" url="/Users/douwehorst/Library/Application Support/Box/Box Edit/Documents/512472958377/"/>
    </mc:Choice>
  </mc:AlternateContent>
  <xr:revisionPtr revIDLastSave="0" documentId="13_ncr:1_{A68F13F7-6011-FE4B-AEA2-9977E6BCBEF6}" xr6:coauthVersionLast="36" xr6:coauthVersionMax="36" xr10:uidLastSave="{00000000-0000-0000-0000-000000000000}"/>
  <bookViews>
    <workbookView xWindow="0" yWindow="0" windowWidth="51200" windowHeight="28800" tabRatio="500" xr2:uid="{00000000-000D-0000-FFFF-FFFF00000000}"/>
  </bookViews>
  <sheets>
    <sheet name="Voorblad" sheetId="2" r:id="rId1"/>
    <sheet name="Model (groot)" sheetId="1" r:id="rId2"/>
    <sheet name="Bijlage data (groot)" sheetId="4" r:id="rId3"/>
    <sheet name="Model (klein)" sheetId="6" r:id="rId4"/>
    <sheet name="Bijlage data (klein)" sheetId="5" r:id="rId5"/>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B32" i="1" l="1"/>
  <c r="B32" i="6"/>
  <c r="D32" i="1" l="1"/>
  <c r="B35" i="6"/>
  <c r="B34" i="6" l="1"/>
  <c r="B14" i="4"/>
  <c r="B13" i="4"/>
  <c r="B12" i="4"/>
  <c r="B11" i="4"/>
  <c r="B10" i="4"/>
  <c r="B9" i="4"/>
  <c r="B8" i="4"/>
  <c r="B7" i="4"/>
  <c r="B14" i="5"/>
  <c r="B13" i="5"/>
  <c r="B12" i="5"/>
  <c r="B11" i="5"/>
  <c r="B10" i="5"/>
  <c r="B9" i="5"/>
  <c r="B8" i="5"/>
  <c r="B7" i="5"/>
  <c r="B11" i="1"/>
  <c r="H11" i="1"/>
  <c r="B12" i="1"/>
  <c r="H12" i="1"/>
  <c r="B13" i="1"/>
  <c r="H13" i="1"/>
  <c r="B14" i="1"/>
  <c r="H14" i="1"/>
  <c r="B15" i="1"/>
  <c r="H15" i="1"/>
  <c r="H16" i="1"/>
  <c r="H39" i="1"/>
  <c r="H40" i="1"/>
  <c r="G11" i="1"/>
  <c r="G12" i="1"/>
  <c r="G13" i="1"/>
  <c r="G14" i="1"/>
  <c r="G15" i="1"/>
  <c r="G16" i="1"/>
  <c r="G39" i="1"/>
  <c r="G40" i="1"/>
  <c r="F11" i="1"/>
  <c r="F12" i="1"/>
  <c r="F13" i="1"/>
  <c r="F14" i="1"/>
  <c r="F15" i="1"/>
  <c r="F16" i="1"/>
  <c r="F39" i="1"/>
  <c r="F40" i="1"/>
  <c r="E11" i="1"/>
  <c r="E12" i="1"/>
  <c r="E13" i="1"/>
  <c r="E14" i="1"/>
  <c r="E15" i="1"/>
  <c r="E16" i="1"/>
  <c r="D14" i="1"/>
  <c r="D15" i="1"/>
  <c r="D16" i="1"/>
  <c r="B11" i="6"/>
  <c r="H11" i="6"/>
  <c r="B12" i="6"/>
  <c r="H12" i="6"/>
  <c r="B13" i="6"/>
  <c r="H13" i="6"/>
  <c r="B14" i="6"/>
  <c r="H14" i="6"/>
  <c r="B15" i="6"/>
  <c r="H15" i="6"/>
  <c r="H16" i="6"/>
  <c r="H39" i="6"/>
  <c r="H40" i="6"/>
  <c r="G11" i="6"/>
  <c r="G12" i="6"/>
  <c r="G13" i="6"/>
  <c r="G14" i="6"/>
  <c r="G15" i="6"/>
  <c r="G16" i="6"/>
  <c r="D35" i="6"/>
  <c r="E35" i="6"/>
  <c r="F35" i="6"/>
  <c r="G35" i="6"/>
  <c r="G36" i="6"/>
  <c r="G39" i="6"/>
  <c r="G40" i="6"/>
  <c r="F11" i="6"/>
  <c r="F12" i="6"/>
  <c r="F13" i="6"/>
  <c r="F14" i="6"/>
  <c r="F15" i="6"/>
  <c r="F16" i="6"/>
  <c r="F36" i="6"/>
  <c r="F39" i="6"/>
  <c r="F40" i="6"/>
  <c r="E11" i="6"/>
  <c r="E12" i="6"/>
  <c r="E13" i="6"/>
  <c r="E14" i="6"/>
  <c r="E15" i="6"/>
  <c r="E16" i="6"/>
  <c r="D14" i="6"/>
  <c r="D15" i="6"/>
  <c r="D16" i="6"/>
  <c r="D34" i="6"/>
  <c r="D32" i="6"/>
  <c r="D36" i="6" s="1"/>
  <c r="D31" i="6"/>
  <c r="D30" i="6"/>
  <c r="D28" i="6"/>
  <c r="D35" i="1"/>
  <c r="D34" i="1"/>
  <c r="D31" i="1"/>
  <c r="D30" i="1"/>
  <c r="D28" i="1"/>
  <c r="B28" i="6"/>
  <c r="B28" i="1"/>
  <c r="E30" i="6"/>
  <c r="F30" i="6"/>
  <c r="G30" i="6"/>
  <c r="H30" i="6"/>
  <c r="B31" i="6"/>
  <c r="E31" i="6"/>
  <c r="F31" i="6"/>
  <c r="G31" i="6"/>
  <c r="H31" i="6"/>
  <c r="H36" i="6"/>
  <c r="E28" i="6"/>
  <c r="F28" i="6"/>
  <c r="G28" i="6"/>
  <c r="I18" i="5"/>
  <c r="H10" i="5"/>
  <c r="H11" i="5"/>
  <c r="H18" i="5"/>
  <c r="G18" i="5"/>
  <c r="F18" i="5"/>
  <c r="E18" i="5"/>
  <c r="D10" i="5"/>
  <c r="D11" i="5"/>
  <c r="D14" i="5"/>
  <c r="D18" i="5"/>
  <c r="C18" i="5"/>
  <c r="B18" i="5"/>
  <c r="I7" i="5"/>
  <c r="G11" i="4"/>
  <c r="F11" i="4"/>
  <c r="F12" i="4"/>
  <c r="F10" i="4"/>
  <c r="F14" i="4"/>
  <c r="F9" i="4"/>
  <c r="E11" i="4"/>
  <c r="E13" i="4"/>
  <c r="E12" i="4"/>
  <c r="E14" i="4"/>
  <c r="E10" i="4"/>
  <c r="G18" i="4"/>
  <c r="F18" i="4"/>
  <c r="E18" i="4"/>
  <c r="D10" i="4"/>
  <c r="D11" i="4"/>
  <c r="D18" i="4"/>
  <c r="C10" i="4"/>
  <c r="C11" i="4"/>
  <c r="C13" i="4"/>
  <c r="C18" i="4"/>
  <c r="D9" i="4"/>
  <c r="D8" i="4"/>
  <c r="B31" i="1"/>
  <c r="E31" i="1"/>
  <c r="F31" i="1"/>
  <c r="G31" i="1"/>
  <c r="H31" i="1"/>
  <c r="B30" i="1"/>
  <c r="B34" i="1"/>
  <c r="B35" i="1"/>
  <c r="D36" i="1"/>
  <c r="E28" i="1"/>
  <c r="E30" i="1"/>
  <c r="E32" i="1"/>
  <c r="E36" i="1" s="1"/>
  <c r="E39" i="1" s="1"/>
  <c r="E40" i="1" s="1"/>
  <c r="E35" i="1"/>
  <c r="F28" i="1"/>
  <c r="F30" i="1"/>
  <c r="F35" i="1"/>
  <c r="F36" i="1"/>
  <c r="G30" i="1"/>
  <c r="H30" i="1"/>
  <c r="H36" i="1"/>
  <c r="G28" i="1"/>
  <c r="G35" i="1"/>
  <c r="G36" i="1"/>
  <c r="B18" i="4"/>
  <c r="D39" i="1" l="1"/>
  <c r="D40" i="1" s="1"/>
  <c r="D39" i="6"/>
  <c r="D40" i="6" s="1"/>
  <c r="E32" i="6"/>
  <c r="E36" i="6" s="1"/>
  <c r="E39" i="6" s="1"/>
  <c r="E40" i="6" s="1"/>
</calcChain>
</file>

<file path=xl/sharedStrings.xml><?xml version="1.0" encoding="utf-8"?>
<sst xmlns="http://schemas.openxmlformats.org/spreadsheetml/2006/main" count="320" uniqueCount="137">
  <si>
    <t>ICT - applicaties</t>
  </si>
  <si>
    <t>ICT - koppelingen</t>
  </si>
  <si>
    <t>ICT - licenties</t>
  </si>
  <si>
    <t>Opleiding / communicatie</t>
  </si>
  <si>
    <t>Projectkosten</t>
  </si>
  <si>
    <t>% gerelateerd totaal begroting aan BRO</t>
  </si>
  <si>
    <t>Bron</t>
  </si>
  <si>
    <t>Uitgangspunten</t>
  </si>
  <si>
    <t>Toelichting op het model</t>
  </si>
  <si>
    <t>mln euro</t>
  </si>
  <si>
    <t>Nederland</t>
  </si>
  <si>
    <t>Lasten</t>
  </si>
  <si>
    <t>Totaal bestuur</t>
  </si>
  <si>
    <t>Totaal algemene dekkingsmiddelen</t>
  </si>
  <si>
    <t>Onderwerpen</t>
  </si>
  <si>
    <t>2018*</t>
  </si>
  <si>
    <t>Perioden</t>
  </si>
  <si>
    <t>Bron:</t>
  </si>
  <si>
    <t>Aanname</t>
  </si>
  <si>
    <t>Investering/Structureel</t>
  </si>
  <si>
    <t>Kostencategorieen</t>
  </si>
  <si>
    <t xml:space="preserve">Investering </t>
  </si>
  <si>
    <t>Berekening</t>
  </si>
  <si>
    <t>nvt</t>
  </si>
  <si>
    <t>Structureel</t>
  </si>
  <si>
    <t>ICT - beheerkosten</t>
  </si>
  <si>
    <t>PM</t>
  </si>
  <si>
    <t>Herinrichting processen (bron+werk w.o. terugmelden)</t>
  </si>
  <si>
    <t>Indicatieve kosten &amp; baten van de BRO</t>
  </si>
  <si>
    <t>Kosten derden overig (oa contract)</t>
  </si>
  <si>
    <t>Totaal begroot 2018</t>
  </si>
  <si>
    <t>Begroting  (Bron: CBS 2018)</t>
  </si>
  <si>
    <t>Toelichting / expertinschatting</t>
  </si>
  <si>
    <t>legenda:</t>
  </si>
  <si>
    <t xml:space="preserve">Indicatieve Kosten </t>
  </si>
  <si>
    <t>(alle bedragen x € duizend)</t>
  </si>
  <si>
    <t xml:space="preserve">Indicatieve Baten </t>
  </si>
  <si>
    <t>De aanname is 20 licenties a 1000 euro per jaar.</t>
  </si>
  <si>
    <t>Stelregel van 20% beheerkosten is hier gehanteerd.</t>
  </si>
  <si>
    <t>Indicatieve kosten- en batenoverzicht</t>
  </si>
  <si>
    <t>Inschatting reductie kosten (onvoorzien) als gevolg van BRO (%)</t>
  </si>
  <si>
    <t>Er is een aantal uitgangspunten gehanteerd:</t>
  </si>
  <si>
    <t>- Het gelijk blijven van lasten vanaf tussen 2018 en 2022</t>
  </si>
  <si>
    <t>- Het gehanteerde scenario kent geen system-to-system koppelingen</t>
  </si>
  <si>
    <t>- De kosten voor externe inuur a €1000 per dag</t>
  </si>
  <si>
    <t>- De batenrealisatie gaat in vanaf 2020 tot 30% in 2022</t>
  </si>
  <si>
    <t>De indicatieve baten en kosten zijn inzichtelijk gemaakt op basis van aannames. De jaren 2018 tot en met 2022 zijn opgenomen in dit model.</t>
  </si>
  <si>
    <t>Op basis van 3 referentieprocessen is de aanname 5 dagen per proces nodig te hebben.</t>
  </si>
  <si>
    <t>RESULTAAT TOTAAL</t>
  </si>
  <si>
    <t>Gemeentelijke begrotingen; baten en lasten per taakveld</t>
  </si>
  <si>
    <t>Gemeenten</t>
  </si>
  <si>
    <t>Gemeentelijke programma's</t>
  </si>
  <si>
    <t>Totaal gemeentelijke programma's</t>
  </si>
  <si>
    <t>Totaal Beheer openbare ruimte + erfgoed</t>
  </si>
  <si>
    <t>Totaal Stedelijke ontwikkeling</t>
  </si>
  <si>
    <t>Totaal Stedelijke inrichting en planvorming</t>
  </si>
  <si>
    <t>Totaal Klimaat, Water en Energie</t>
  </si>
  <si>
    <t>Totaal Verkeer en Vervoer</t>
  </si>
  <si>
    <t>Gemeentelijke begroting in mln euro</t>
  </si>
  <si>
    <t>Het totaal van hoofdtaakveld Beheer openbare ruimte + erfgoed bestaat uit de taakvelden:</t>
  </si>
  <si>
    <t>Het totaal van hoofdtaakveld Klimaat, Water  en Energie bestaat uit de taakvelden:</t>
  </si>
  <si>
    <t>Totaal Stedelijke Ontwikkeling</t>
  </si>
  <si>
    <t>Het totaal van hoofdtaakveld Stedelijke ontwikkeling bestaat uit de taakvelden:</t>
  </si>
  <si>
    <t>Het totaal van hoofdtaakveld Stedelijke inrichting en planvorming bestaat uit de taakvelden:</t>
  </si>
  <si>
    <t>Het totaal van hoofdtaakveld Verkeer en Vervoer bestaat uit de taakvelden:</t>
  </si>
  <si>
    <t>individuele jaarbegroting 2018 van de genoemde gemeenten</t>
  </si>
  <si>
    <t>Amsterdam</t>
  </si>
  <si>
    <t>Den Haag</t>
  </si>
  <si>
    <t>Rotterdam</t>
  </si>
  <si>
    <t>Utrecht</t>
  </si>
  <si>
    <t>Eindhoven</t>
  </si>
  <si>
    <t>Heerlen</t>
  </si>
  <si>
    <t>Houten</t>
  </si>
  <si>
    <t>Middelburg</t>
  </si>
  <si>
    <t>Goes</t>
  </si>
  <si>
    <t>Hollands Kroon</t>
  </si>
  <si>
    <t>Pijnacker-Nootdorp</t>
  </si>
  <si>
    <t>Stichtse Vecht</t>
  </si>
  <si>
    <t>Duurzaamheid</t>
  </si>
  <si>
    <t>Water</t>
  </si>
  <si>
    <t>Afval</t>
  </si>
  <si>
    <t>Openbaar vervoer</t>
  </si>
  <si>
    <t>Parkeren</t>
  </si>
  <si>
    <t>Verkeersmaatregelen en openbare ruimte</t>
  </si>
  <si>
    <t>Wegen, straten en pleinen</t>
  </si>
  <si>
    <t>Groen en Recreatie</t>
  </si>
  <si>
    <t>Erfgoed</t>
  </si>
  <si>
    <t>Groen en recreatie</t>
  </si>
  <si>
    <t>Gemeentelijk vastgoed</t>
  </si>
  <si>
    <t>Ruimtelijke ordening en Bouwtoezicht</t>
  </si>
  <si>
    <t>Wonen en stedelijke vernieuwing</t>
  </si>
  <si>
    <t>Grond en ontwikkeling</t>
  </si>
  <si>
    <t>Sport</t>
  </si>
  <si>
    <t>Vergunningen, toezicht en handhaving</t>
  </si>
  <si>
    <t>Ontwikkeling buitenruimte</t>
  </si>
  <si>
    <t>Binnenstad</t>
  </si>
  <si>
    <t>Verkeer en Milieu</t>
  </si>
  <si>
    <t>Wonen en duurzaamheid</t>
  </si>
  <si>
    <t>Stadsontwikkeling</t>
  </si>
  <si>
    <t>Overige beleidsvoornemens</t>
  </si>
  <si>
    <t>Stadsdelen en wijkaanpak</t>
  </si>
  <si>
    <t>Stedelijke bereikbaarheid</t>
  </si>
  <si>
    <t>Duurzame mobiliteit</t>
  </si>
  <si>
    <t>Onderwijshuisvesting</t>
  </si>
  <si>
    <t>Sport en recreatie</t>
  </si>
  <si>
    <t>Riolen en gemalen</t>
  </si>
  <si>
    <t>Water en groen</t>
  </si>
  <si>
    <t>Wegen en openbare verlichting</t>
  </si>
  <si>
    <t>Milieu</t>
  </si>
  <si>
    <t>Gebiedsontwikkeling</t>
  </si>
  <si>
    <t>Grondzaken</t>
  </si>
  <si>
    <t>Recreatieve havens</t>
  </si>
  <si>
    <t>Economische havens</t>
  </si>
  <si>
    <t>Gem. per Gemeente</t>
  </si>
  <si>
    <t>Stelpost van 40.000 euro per Gemeente.</t>
  </si>
  <si>
    <t>RESULTAAT PER Gemeente</t>
  </si>
  <si>
    <t>gem. per Gemeente</t>
  </si>
  <si>
    <t>Beheer openbare ruimte + erfgoed</t>
  </si>
  <si>
    <t>Stedelijke ontwikkeling</t>
  </si>
  <si>
    <t>Stedelijke inrichting en planvorming</t>
  </si>
  <si>
    <t>Klimaat, Water en Energie</t>
  </si>
  <si>
    <t>TVerkeer en Vervoer</t>
  </si>
  <si>
    <t>Verkeer en Vervoer</t>
  </si>
  <si>
    <t>Op basis van 24 registratieobjecten en 13 referentiecomponenten doen wij de aanname 5 dagen per referentiecomponent nodig te hebben.</t>
  </si>
  <si>
    <t>De aanname is 0,2 coordinator + 0,2 specialist fte intern voor 4 jaar. (gemeente Utrecht gaf aan 400 uur per jaar)</t>
  </si>
  <si>
    <t>RESULTAAT PER Gemeente (groot)</t>
  </si>
  <si>
    <t>vooral planvorming, weinig daadwerkelijk onderzoek</t>
  </si>
  <si>
    <t>Werkprocessen waarbij veel in de buitenruimte wordt gewerkt, vaak is daarvoor onderzoek nodig</t>
  </si>
  <si>
    <t>Werkprocessen waarbij veel grond wordt vervoerd of wordt gebouwd, vaak is daarvoor onderzoek nodig</t>
  </si>
  <si>
    <t>vooral planvorming, voor de uitvoering valt het onder andre programma's</t>
  </si>
  <si>
    <t>Begroting  (Bron: begroting  2018)</t>
  </si>
  <si>
    <t>De aanname is 5 licenties a 1000 euro per jaar.</t>
  </si>
  <si>
    <t>Stelpost van 20.000 euro per Gemeente.</t>
  </si>
  <si>
    <t>Dit indicatieve kosten- en batenoverzicht is een expertinschatting. Het model is daarnaast gebaseerd op de uitgevoerde procesanalyse en generieke architectuurschets die eerder zijn opgesteld binnen de opdracht.</t>
  </si>
  <si>
    <t xml:space="preserve">De gegevens in het model zijn opgebouwd vanuit de gezamenlijke begrotingen van de gemeenten over 2018 volgens het CBS. Als eerste stap is binnen deze begroting een verdeling gemaakt naar percentages die aan de BRO gerelateerd zijn voor vijf programma's. </t>
  </si>
  <si>
    <t xml:space="preserve">Als tweede stap is per programma een inschatting gemaakt wat de kostenreductie van de faalkosten (waaronder onderzoek en juridische kosten) op termijn kan zijn binnen het deel van de begroting waarvan in stap 1 een relatie met de BRO is geconstateerd. </t>
  </si>
  <si>
    <t>Indicatief kosten- en batenoverzicht gemeenten  BRO v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</si>
</sst>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_(&quot;€&quot;\ * \(#,##0.00\);_(&quot;€&quot;\ * &quot;-&quot;??_);_(@_)"/>
    <numFmt numFmtId="164" formatCode="_(&quot;€&quot;\ * #,##0_);_(&quot;€&quot;\ * \(#,##0\);_(&quot;€&quot;\ * &quot;-&quot;??_);_(@_)"/>
  </numFmts>
  <fonts count="20">
    <font>
      <sz val="12"/>
      <color theme="1"/>
      <name val="Calibri"/>
      <family val="2"/>
      <scheme val="minor"/>
    </font>
    <font>
      <sz val="12"/>
      <color theme="1"/>
      <name val="Calibri"/>
      <family val="2"/>
      <scheme val="minor"/>
    </font>
    <font>
      <sz val="12"/>
      <color theme="1"/>
      <name val="Calibri"/>
      <family val="2"/>
      <scheme val="minor"/>
    </font>
    <font>
      <i/>
      <sz val="12"/>
      <name val="Calibri"/>
      <family val="2"/>
      <scheme val="minor"/>
    </font>
    <font>
      <i/>
      <sz val="12"/>
      <color theme="1"/>
      <name val="Calibri"/>
      <family val="2"/>
      <scheme val="minor"/>
    </font>
    <font>
      <b/>
      <sz val="12"/>
      <color rgb="FF3F3F3F"/>
      <name val="Calibri"/>
      <family val="2"/>
      <scheme val="minor"/>
    </font>
    <font>
      <b/>
      <sz val="12"/>
      <color theme="1"/>
      <name val="Calibri"/>
      <family val="2"/>
      <scheme val="minor"/>
    </font>
    <font>
      <sz val="12"/>
      <color rgb="FF000000"/>
      <name val="Verdana"/>
      <family val="2"/>
    </font>
    <font>
      <b/>
      <sz val="12"/>
      <color rgb="FF000000"/>
      <name val="Verdana"/>
      <family val="2"/>
    </font>
    <font>
      <sz val="11"/>
      <color indexed="8"/>
      <name val="Calibri"/>
      <family val="2"/>
      <scheme val="minor"/>
    </font>
    <font>
      <b/>
      <sz val="11"/>
      <name val="Arial"/>
      <family val="2"/>
    </font>
    <font>
      <sz val="11"/>
      <name val="Arial"/>
      <family val="2"/>
    </font>
    <font>
      <sz val="12"/>
      <color rgb="FF3F3F3F"/>
      <name val="Calibri"/>
      <family val="2"/>
      <scheme val="minor"/>
    </font>
    <font>
      <b/>
      <sz val="18"/>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sz val="14"/>
      <color theme="1"/>
      <name val="Calibri"/>
      <family val="2"/>
      <scheme val="minor"/>
    </font>
    <font>
      <sz val="10"/>
      <color theme="1"/>
      <name val="Calibri"/>
      <family val="2"/>
      <scheme val="minor"/>
    </font>
    <font>
      <b/>
      <sz val="20"/>
      <color theme="1"/>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2F2F2"/>
      </patternFill>
    </fill>
    <fill>
      <patternFill patternType="solid">
        <fgColor rgb="FFFFFF0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5"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bottom/>
      <diagonal/>
    </border>
  </borders>
  <cellStyleXfs count="41">
    <xf numFmtId="0" fontId="0" fillId="0" borderId="0"/>
    <xf numFmtId="44" fontId="2" fillId="0" borderId="0" applyFont="0" applyFill="0" applyBorder="0" applyAlignment="0" applyProtection="0"/>
    <xf numFmtId="9" fontId="1" fillId="0" borderId="0" applyFont="0" applyFill="0" applyBorder="0" applyAlignment="0" applyProtection="0"/>
    <xf numFmtId="0" fontId="5" fillId="6" borderId="2" applyNumberFormat="0" applyAlignment="0" applyProtection="0"/>
    <xf numFmtId="0" fontId="9"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60">
    <xf numFmtId="0" fontId="0" fillId="0" borderId="0" xfId="0"/>
    <xf numFmtId="0" fontId="0" fillId="0" borderId="0" xfId="0" applyAlignment="1">
      <alignment vertical="top"/>
    </xf>
    <xf numFmtId="0" fontId="0" fillId="2" borderId="1" xfId="0" applyFill="1" applyBorder="1" applyAlignment="1">
      <alignment vertical="top"/>
    </xf>
    <xf numFmtId="0" fontId="0" fillId="0" borderId="1" xfId="0" applyBorder="1" applyAlignment="1">
      <alignment vertical="top"/>
    </xf>
    <xf numFmtId="164" fontId="0" fillId="4" borderId="1" xfId="1" applyNumberFormat="1" applyFont="1" applyFill="1" applyBorder="1" applyAlignment="1">
      <alignment horizontal="right" vertical="top"/>
    </xf>
    <xf numFmtId="0" fontId="0" fillId="5" borderId="1" xfId="0" applyFill="1" applyBorder="1" applyAlignment="1">
      <alignment vertical="top"/>
    </xf>
    <xf numFmtId="0" fontId="3" fillId="0" borderId="0" xfId="0" applyFont="1" applyFill="1" applyBorder="1" applyAlignment="1">
      <alignment horizontal="right" vertical="top"/>
    </xf>
    <xf numFmtId="164" fontId="3" fillId="0" borderId="0" xfId="0" applyNumberFormat="1" applyFont="1" applyFill="1" applyBorder="1" applyAlignment="1">
      <alignment horizontal="right" vertical="top"/>
    </xf>
    <xf numFmtId="164" fontId="0" fillId="0" borderId="0" xfId="0" applyNumberFormat="1" applyAlignment="1">
      <alignment vertical="top"/>
    </xf>
    <xf numFmtId="0" fontId="0" fillId="3" borderId="1" xfId="0" applyFill="1" applyBorder="1" applyAlignment="1">
      <alignment vertical="top"/>
    </xf>
    <xf numFmtId="0" fontId="0" fillId="0" borderId="0" xfId="0" quotePrefix="1"/>
    <xf numFmtId="0" fontId="8" fillId="0" borderId="0" xfId="0" applyFont="1"/>
    <xf numFmtId="0" fontId="7" fillId="0" borderId="0" xfId="0" applyFont="1"/>
    <xf numFmtId="0" fontId="10" fillId="0" borderId="0" xfId="4" applyFont="1"/>
    <xf numFmtId="0" fontId="9" fillId="0" borderId="0" xfId="4" applyFont="1"/>
    <xf numFmtId="0" fontId="11" fillId="0" borderId="0" xfId="4" applyFont="1"/>
    <xf numFmtId="0" fontId="10" fillId="7" borderId="0" xfId="4" applyFont="1" applyFill="1"/>
    <xf numFmtId="0" fontId="11" fillId="7" borderId="0" xfId="4" applyFont="1" applyFill="1"/>
    <xf numFmtId="0" fontId="9" fillId="7" borderId="0" xfId="4" applyFont="1" applyFill="1"/>
    <xf numFmtId="164" fontId="0" fillId="0" borderId="1" xfId="0" applyNumberFormat="1" applyBorder="1" applyAlignment="1">
      <alignment vertical="top"/>
    </xf>
    <xf numFmtId="164" fontId="0" fillId="8" borderId="1" xfId="1" applyNumberFormat="1" applyFont="1" applyFill="1" applyBorder="1" applyAlignment="1">
      <alignment horizontal="right" vertical="top"/>
    </xf>
    <xf numFmtId="9" fontId="0" fillId="9" borderId="1" xfId="2" applyFont="1" applyFill="1" applyBorder="1" applyAlignment="1">
      <alignment horizontal="right" vertical="top"/>
    </xf>
    <xf numFmtId="164" fontId="0" fillId="0" borderId="3" xfId="0" applyNumberFormat="1" applyBorder="1" applyAlignment="1">
      <alignment vertical="top"/>
    </xf>
    <xf numFmtId="164" fontId="6" fillId="0" borderId="4" xfId="0" applyNumberFormat="1" applyFont="1" applyFill="1" applyBorder="1" applyAlignment="1">
      <alignment vertical="top"/>
    </xf>
    <xf numFmtId="0" fontId="0" fillId="10" borderId="1" xfId="0" applyFill="1" applyBorder="1" applyAlignment="1">
      <alignment vertical="top"/>
    </xf>
    <xf numFmtId="0" fontId="0" fillId="9" borderId="1" xfId="0" applyFill="1" applyBorder="1" applyAlignment="1">
      <alignment vertical="top"/>
    </xf>
    <xf numFmtId="0" fontId="6" fillId="3" borderId="1" xfId="0" applyFont="1" applyFill="1" applyBorder="1" applyAlignment="1">
      <alignment vertical="top"/>
    </xf>
    <xf numFmtId="0" fontId="0" fillId="4" borderId="1" xfId="1" applyNumberFormat="1" applyFont="1" applyFill="1" applyBorder="1" applyAlignment="1">
      <alignment horizontal="right" vertical="top"/>
    </xf>
    <xf numFmtId="164" fontId="5" fillId="6" borderId="2" xfId="3" applyNumberFormat="1" applyAlignment="1">
      <alignment horizontal="right" vertical="top"/>
    </xf>
    <xf numFmtId="164" fontId="6" fillId="0" borderId="1" xfId="0" applyNumberFormat="1" applyFont="1" applyFill="1" applyBorder="1" applyAlignment="1">
      <alignment vertical="top"/>
    </xf>
    <xf numFmtId="44" fontId="6" fillId="0" borderId="4" xfId="0" applyNumberFormat="1" applyFont="1" applyFill="1" applyBorder="1" applyAlignment="1">
      <alignment vertical="top"/>
    </xf>
    <xf numFmtId="44" fontId="0" fillId="0" borderId="1" xfId="0" applyNumberFormat="1" applyBorder="1" applyAlignment="1">
      <alignment vertical="top"/>
    </xf>
    <xf numFmtId="44" fontId="0" fillId="0" borderId="3" xfId="0" applyNumberFormat="1" applyBorder="1" applyAlignment="1">
      <alignment vertical="top"/>
    </xf>
    <xf numFmtId="0" fontId="4" fillId="3" borderId="1" xfId="0" applyFont="1" applyFill="1" applyBorder="1" applyAlignment="1">
      <alignment horizontal="right" vertical="top"/>
    </xf>
    <xf numFmtId="9" fontId="0" fillId="2" borderId="1" xfId="0" applyNumberFormat="1" applyFill="1" applyBorder="1" applyAlignment="1">
      <alignment vertical="top"/>
    </xf>
    <xf numFmtId="9" fontId="0" fillId="9" borderId="1" xfId="2" applyFont="1" applyFill="1" applyBorder="1" applyAlignment="1">
      <alignment vertical="top"/>
    </xf>
    <xf numFmtId="164" fontId="0" fillId="0" borderId="1" xfId="1" applyNumberFormat="1" applyFont="1" applyBorder="1" applyAlignment="1">
      <alignment vertical="top"/>
    </xf>
    <xf numFmtId="0" fontId="16" fillId="0" borderId="0" xfId="0" applyFont="1" applyAlignment="1"/>
    <xf numFmtId="0" fontId="0" fillId="0" borderId="0" xfId="0" applyFont="1" applyAlignment="1">
      <alignment vertical="top"/>
    </xf>
    <xf numFmtId="164" fontId="0" fillId="0" borderId="3" xfId="1" applyNumberFormat="1" applyFont="1" applyBorder="1" applyAlignment="1">
      <alignment vertical="top"/>
    </xf>
    <xf numFmtId="164" fontId="6" fillId="0" borderId="4" xfId="1" applyNumberFormat="1" applyFont="1" applyFill="1" applyBorder="1" applyAlignment="1">
      <alignment vertical="top"/>
    </xf>
    <xf numFmtId="0" fontId="18" fillId="0" borderId="0" xfId="0" applyFont="1" applyAlignment="1">
      <alignment vertical="top"/>
    </xf>
    <xf numFmtId="0" fontId="0" fillId="0" borderId="0" xfId="0" applyFill="1" applyAlignment="1">
      <alignment vertical="top"/>
    </xf>
    <xf numFmtId="0" fontId="0" fillId="2" borderId="0" xfId="0" applyFill="1" applyAlignment="1">
      <alignment vertical="top"/>
    </xf>
    <xf numFmtId="0" fontId="6" fillId="0" borderId="0" xfId="0" applyFont="1"/>
    <xf numFmtId="0" fontId="13" fillId="3" borderId="0" xfId="0" applyFont="1" applyFill="1" applyAlignment="1">
      <alignment vertical="top"/>
    </xf>
    <xf numFmtId="0" fontId="17" fillId="0" borderId="0" xfId="0" applyFont="1"/>
    <xf numFmtId="0" fontId="17" fillId="0" borderId="0" xfId="0" quotePrefix="1" applyFont="1"/>
    <xf numFmtId="0" fontId="6" fillId="3" borderId="0" xfId="0" applyFont="1" applyFill="1" applyAlignment="1"/>
    <xf numFmtId="49" fontId="12" fillId="6" borderId="1" xfId="3" applyNumberFormat="1" applyFont="1" applyBorder="1" applyAlignment="1">
      <alignment horizontal="left" vertical="top"/>
    </xf>
    <xf numFmtId="0" fontId="16" fillId="0" borderId="0" xfId="0" applyFont="1" applyAlignment="1">
      <alignment wrapText="1"/>
    </xf>
    <xf numFmtId="0" fontId="19" fillId="0" borderId="0" xfId="0" applyFont="1"/>
    <xf numFmtId="0" fontId="10" fillId="0" borderId="0" xfId="4" applyFont="1" applyFill="1"/>
    <xf numFmtId="0" fontId="11" fillId="0" borderId="0" xfId="4" applyFont="1" applyFill="1"/>
    <xf numFmtId="0" fontId="9" fillId="0" borderId="0" xfId="4" applyFont="1" applyFill="1"/>
    <xf numFmtId="0" fontId="7" fillId="7" borderId="0" xfId="0" applyFont="1" applyFill="1"/>
    <xf numFmtId="0" fontId="11" fillId="11" borderId="0" xfId="4" applyFont="1" applyFill="1"/>
    <xf numFmtId="0" fontId="0" fillId="0" borderId="1" xfId="0" applyFont="1" applyBorder="1" applyAlignment="1">
      <alignment vertical="top"/>
    </xf>
    <xf numFmtId="0" fontId="0" fillId="2" borderId="1" xfId="0" applyFill="1" applyBorder="1" applyAlignment="1">
      <alignment vertical="top" wrapText="1"/>
    </xf>
    <xf numFmtId="0" fontId="0" fillId="0" borderId="5" xfId="0" applyBorder="1" applyAlignment="1">
      <alignment horizontal="center" vertical="top"/>
    </xf>
  </cellXfs>
  <cellStyles count="4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Procent" xfId="2" builtinId="5"/>
    <cellStyle name="Stand. 2" xfId="4" xr:uid="{00000000-0005-0000-0000-000025000000}"/>
    <cellStyle name="Standaard" xfId="0" builtinId="0"/>
    <cellStyle name="Uitvoer" xfId="3" builtinId="21"/>
    <cellStyle name="Valuta" xfId="1" builtinId="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5"/>
  <sheetViews>
    <sheetView showGridLines="0" tabSelected="1" workbookViewId="0">
      <selection activeCell="I7" sqref="I7"/>
    </sheetView>
  </sheetViews>
  <sheetFormatPr baseColWidth="10" defaultColWidth="11" defaultRowHeight="16"/>
  <sheetData>
    <row r="1" spans="1:5" ht="26">
      <c r="A1" s="51" t="s">
        <v>136</v>
      </c>
    </row>
    <row r="9" spans="1:5" ht="23" customHeight="1">
      <c r="A9" s="45" t="s">
        <v>39</v>
      </c>
      <c r="B9" s="45"/>
      <c r="C9" s="45"/>
      <c r="D9" s="45"/>
      <c r="E9" s="45"/>
    </row>
    <row r="11" spans="1:5" ht="18" customHeight="1">
      <c r="A11" s="46" t="s">
        <v>133</v>
      </c>
    </row>
    <row r="14" spans="1:5">
      <c r="A14" s="48" t="s">
        <v>8</v>
      </c>
      <c r="B14" s="48"/>
    </row>
    <row r="15" spans="1:5">
      <c r="A15" s="44"/>
    </row>
    <row r="16" spans="1:5" ht="18" customHeight="1">
      <c r="A16" s="46" t="s">
        <v>134</v>
      </c>
    </row>
    <row r="17" spans="1:2" ht="18" customHeight="1">
      <c r="A17" s="46" t="s">
        <v>135</v>
      </c>
    </row>
    <row r="18" spans="1:2" ht="18" customHeight="1">
      <c r="A18" s="46"/>
    </row>
    <row r="19" spans="1:2" ht="18" customHeight="1">
      <c r="A19" s="46" t="s">
        <v>46</v>
      </c>
    </row>
    <row r="21" spans="1:2">
      <c r="A21" s="48" t="s">
        <v>7</v>
      </c>
      <c r="B21" s="48"/>
    </row>
    <row r="23" spans="1:2" ht="18" customHeight="1">
      <c r="A23" s="46" t="s">
        <v>41</v>
      </c>
    </row>
    <row r="24" spans="1:2" ht="18" customHeight="1">
      <c r="A24" s="46"/>
    </row>
    <row r="25" spans="1:2" ht="18" customHeight="1">
      <c r="A25" s="47" t="s">
        <v>42</v>
      </c>
    </row>
    <row r="26" spans="1:2" ht="18" customHeight="1">
      <c r="A26" s="47" t="s">
        <v>43</v>
      </c>
    </row>
    <row r="27" spans="1:2" ht="18" customHeight="1">
      <c r="A27" s="47" t="s">
        <v>44</v>
      </c>
    </row>
    <row r="28" spans="1:2" ht="18" customHeight="1">
      <c r="A28" s="47" t="s">
        <v>45</v>
      </c>
    </row>
    <row r="29" spans="1:2" ht="18" customHeight="1">
      <c r="A29" s="47"/>
    </row>
    <row r="30" spans="1:2">
      <c r="A30" s="10"/>
    </row>
    <row r="31" spans="1:2">
      <c r="A31" s="10"/>
    </row>
    <row r="32" spans="1:2">
      <c r="A32" s="10"/>
    </row>
    <row r="33" spans="1:1">
      <c r="A33" s="10"/>
    </row>
    <row r="34" spans="1:1">
      <c r="A34" s="10"/>
    </row>
    <row r="35" spans="1:1">
      <c r="A35" s="10"/>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7"/>
  <sheetViews>
    <sheetView showGridLines="0" zoomScale="122" zoomScaleNormal="122" workbookViewId="0">
      <selection activeCell="I32" sqref="I32"/>
    </sheetView>
  </sheetViews>
  <sheetFormatPr baseColWidth="10" defaultColWidth="10.6640625" defaultRowHeight="16"/>
  <cols>
    <col min="1" max="1" width="61.6640625" style="1" customWidth="1"/>
    <col min="2" max="2" width="27.33203125" style="1" customWidth="1"/>
    <col min="3" max="3" width="20.1640625" style="1" customWidth="1"/>
    <col min="4" max="8" width="17.1640625" style="1" customWidth="1"/>
    <col min="9" max="9" width="88" style="1" customWidth="1"/>
    <col min="10" max="10" width="10.6640625" style="1"/>
    <col min="11" max="11" width="14" style="1" customWidth="1"/>
    <col min="12" max="16384" width="10.6640625" style="1"/>
  </cols>
  <sheetData>
    <row r="1" spans="1:9" ht="24">
      <c r="A1" s="45" t="s">
        <v>28</v>
      </c>
    </row>
    <row r="2" spans="1:9">
      <c r="A2" s="41" t="s">
        <v>35</v>
      </c>
    </row>
    <row r="3" spans="1:9">
      <c r="A3" s="41"/>
    </row>
    <row r="4" spans="1:9" s="38" customFormat="1">
      <c r="A4" s="38" t="s">
        <v>33</v>
      </c>
    </row>
    <row r="5" spans="1:9">
      <c r="A5" s="24" t="s">
        <v>6</v>
      </c>
    </row>
    <row r="6" spans="1:9" ht="16.25" customHeight="1">
      <c r="A6" s="25" t="s">
        <v>18</v>
      </c>
    </row>
    <row r="7" spans="1:9">
      <c r="A7" s="49" t="s">
        <v>22</v>
      </c>
    </row>
    <row r="9" spans="1:9">
      <c r="A9" s="26" t="s">
        <v>36</v>
      </c>
      <c r="B9" s="9"/>
      <c r="C9" s="9"/>
      <c r="D9" s="9">
        <v>2018</v>
      </c>
      <c r="E9" s="9">
        <v>2019</v>
      </c>
      <c r="F9" s="9">
        <v>2020</v>
      </c>
      <c r="G9" s="9">
        <v>2021</v>
      </c>
      <c r="H9" s="9">
        <v>2022</v>
      </c>
    </row>
    <row r="10" spans="1:9" ht="34">
      <c r="A10" s="2" t="s">
        <v>130</v>
      </c>
      <c r="B10" s="2" t="s">
        <v>30</v>
      </c>
      <c r="C10" s="58" t="s">
        <v>5</v>
      </c>
      <c r="D10" s="2"/>
      <c r="E10" s="34">
        <v>0</v>
      </c>
      <c r="F10" s="34">
        <v>0.1</v>
      </c>
      <c r="G10" s="34">
        <v>0.2</v>
      </c>
      <c r="H10" s="34">
        <v>0.3</v>
      </c>
      <c r="I10" s="43" t="s">
        <v>32</v>
      </c>
    </row>
    <row r="11" spans="1:9" ht="17">
      <c r="A11" s="57" t="s">
        <v>53</v>
      </c>
      <c r="B11" s="20">
        <f>'Bijlage data (groot)'!B10*1000</f>
        <v>502539</v>
      </c>
      <c r="C11" s="21">
        <v>0.3</v>
      </c>
      <c r="D11" s="31"/>
      <c r="E11" s="31">
        <f>$B11*$C11*$B18*E$10</f>
        <v>0</v>
      </c>
      <c r="F11" s="36">
        <f>$B11*$C11*$B18*F$10</f>
        <v>753.80849999999998</v>
      </c>
      <c r="G11" s="36">
        <f>$B11*$C11*$B18*G$10</f>
        <v>1507.617</v>
      </c>
      <c r="H11" s="36">
        <f>$B11*$C11*$B18*H$10</f>
        <v>2261.4254999999998</v>
      </c>
      <c r="I11" s="50" t="s">
        <v>127</v>
      </c>
    </row>
    <row r="12" spans="1:9" ht="17">
      <c r="A12" s="57" t="s">
        <v>54</v>
      </c>
      <c r="B12" s="20">
        <f>'Bijlage data (groot)'!B11*1000</f>
        <v>2315293</v>
      </c>
      <c r="C12" s="21">
        <v>0.3</v>
      </c>
      <c r="D12" s="31"/>
      <c r="E12" s="31">
        <f>$B12*$C12*$B19*E$10</f>
        <v>0</v>
      </c>
      <c r="F12" s="36">
        <f t="shared" ref="F12:H12" si="0">$B12*$C12*$B19*F$10</f>
        <v>3472.9395000000004</v>
      </c>
      <c r="G12" s="36">
        <f t="shared" si="0"/>
        <v>6945.8790000000008</v>
      </c>
      <c r="H12" s="36">
        <f t="shared" si="0"/>
        <v>10418.818500000001</v>
      </c>
      <c r="I12" s="50" t="s">
        <v>128</v>
      </c>
    </row>
    <row r="13" spans="1:9">
      <c r="A13" s="57" t="s">
        <v>55</v>
      </c>
      <c r="B13" s="20">
        <f>'Bijlage data (groot)'!B12*1000</f>
        <v>51699.999999999985</v>
      </c>
      <c r="C13" s="21">
        <v>0.05</v>
      </c>
      <c r="D13" s="31"/>
      <c r="E13" s="31">
        <f>$B13*$C13*$B20*E$10</f>
        <v>0</v>
      </c>
      <c r="F13" s="36">
        <f t="shared" ref="F13:H13" si="1">$B13*$C13*$B20*F$10</f>
        <v>5.169999999999999</v>
      </c>
      <c r="G13" s="36">
        <f t="shared" si="1"/>
        <v>10.339999999999998</v>
      </c>
      <c r="H13" s="36">
        <f t="shared" si="1"/>
        <v>15.509999999999996</v>
      </c>
      <c r="I13" s="37" t="s">
        <v>126</v>
      </c>
    </row>
    <row r="14" spans="1:9" ht="17">
      <c r="A14" s="57" t="s">
        <v>56</v>
      </c>
      <c r="B14" s="20">
        <f>'Bijlage data (groot)'!B13*1000</f>
        <v>385400.00000000006</v>
      </c>
      <c r="C14" s="21">
        <v>0.15</v>
      </c>
      <c r="D14" s="31">
        <f>$B14*$C14*$B21*D$10</f>
        <v>0</v>
      </c>
      <c r="E14" s="31">
        <f>$B14*$C14*$B21*E$10</f>
        <v>0</v>
      </c>
      <c r="F14" s="36">
        <f t="shared" ref="F14:H15" si="2">$B14*$C14*$B21*F$10</f>
        <v>115.62000000000003</v>
      </c>
      <c r="G14" s="36">
        <f t="shared" si="2"/>
        <v>231.24000000000007</v>
      </c>
      <c r="H14" s="36">
        <f t="shared" si="2"/>
        <v>346.86000000000007</v>
      </c>
      <c r="I14" s="50" t="s">
        <v>129</v>
      </c>
    </row>
    <row r="15" spans="1:9" ht="18" thickBot="1">
      <c r="A15" s="57" t="s">
        <v>57</v>
      </c>
      <c r="B15" s="20">
        <f>'Bijlage data (groot)'!B14*1000</f>
        <v>1367000</v>
      </c>
      <c r="C15" s="21">
        <v>0.3</v>
      </c>
      <c r="D15" s="32">
        <f>$B15*$C15*$B22*D$10</f>
        <v>0</v>
      </c>
      <c r="E15" s="32">
        <f>$B15*$C15*$B22*E$10</f>
        <v>0</v>
      </c>
      <c r="F15" s="39">
        <f>$B15*$C15*$B22*F$10</f>
        <v>2050.5</v>
      </c>
      <c r="G15" s="39">
        <f t="shared" si="2"/>
        <v>4101</v>
      </c>
      <c r="H15" s="39">
        <f t="shared" si="2"/>
        <v>6151.5</v>
      </c>
      <c r="I15" s="50" t="s">
        <v>128</v>
      </c>
    </row>
    <row r="16" spans="1:9" ht="17" thickTop="1">
      <c r="A16" s="5"/>
      <c r="B16" s="5"/>
      <c r="C16" s="5"/>
      <c r="D16" s="30">
        <f t="shared" ref="D16:E16" si="3">SUM(D11:D15)</f>
        <v>0</v>
      </c>
      <c r="E16" s="30">
        <f t="shared" si="3"/>
        <v>0</v>
      </c>
      <c r="F16" s="40">
        <f>SUM(F11:F15)</f>
        <v>6398.0380000000005</v>
      </c>
      <c r="G16" s="40">
        <f t="shared" ref="G16:H16" si="4">SUM(G11:G15)</f>
        <v>12796.076000000001</v>
      </c>
      <c r="H16" s="40">
        <f t="shared" si="4"/>
        <v>19194.114000000001</v>
      </c>
    </row>
    <row r="17" spans="1:9" ht="51">
      <c r="A17" s="2" t="s">
        <v>40</v>
      </c>
      <c r="B17" s="58" t="s">
        <v>40</v>
      </c>
      <c r="I17" s="42"/>
    </row>
    <row r="18" spans="1:9" ht="19" customHeight="1">
      <c r="A18" s="57" t="s">
        <v>117</v>
      </c>
      <c r="B18" s="35">
        <v>0.05</v>
      </c>
      <c r="C18" s="59"/>
    </row>
    <row r="19" spans="1:9" ht="18" customHeight="1">
      <c r="A19" s="57" t="s">
        <v>118</v>
      </c>
      <c r="B19" s="35">
        <v>0.05</v>
      </c>
      <c r="C19" s="59"/>
    </row>
    <row r="20" spans="1:9" ht="18" customHeight="1">
      <c r="A20" s="57" t="s">
        <v>119</v>
      </c>
      <c r="B20" s="35">
        <v>0.02</v>
      </c>
    </row>
    <row r="21" spans="1:9" ht="18" customHeight="1">
      <c r="A21" s="57" t="s">
        <v>120</v>
      </c>
      <c r="B21" s="35">
        <v>0.02</v>
      </c>
    </row>
    <row r="22" spans="1:9" ht="18" customHeight="1">
      <c r="A22" s="57" t="s">
        <v>122</v>
      </c>
      <c r="B22" s="35">
        <v>0.05</v>
      </c>
    </row>
    <row r="26" spans="1:9">
      <c r="A26" s="26" t="s">
        <v>34</v>
      </c>
      <c r="B26" s="9"/>
      <c r="C26" s="9"/>
      <c r="D26" s="9">
        <v>2018</v>
      </c>
      <c r="E26" s="9">
        <v>2019</v>
      </c>
      <c r="F26" s="9">
        <v>2020</v>
      </c>
      <c r="G26" s="9">
        <v>2021</v>
      </c>
      <c r="H26" s="9">
        <v>2022</v>
      </c>
    </row>
    <row r="27" spans="1:9">
      <c r="A27" s="2" t="s">
        <v>20</v>
      </c>
      <c r="B27" s="2" t="s">
        <v>113</v>
      </c>
      <c r="C27" s="2" t="s">
        <v>19</v>
      </c>
      <c r="D27" s="2"/>
      <c r="E27" s="2"/>
      <c r="F27" s="2"/>
      <c r="G27" s="2"/>
      <c r="H27" s="2"/>
      <c r="I27" s="43" t="s">
        <v>32</v>
      </c>
    </row>
    <row r="28" spans="1:9">
      <c r="A28" s="3" t="s">
        <v>0</v>
      </c>
      <c r="B28" s="28">
        <f>13*5000/1000</f>
        <v>65</v>
      </c>
      <c r="C28" s="27" t="s">
        <v>21</v>
      </c>
      <c r="D28" s="19">
        <f>B28/4*5</f>
        <v>81.25</v>
      </c>
      <c r="E28" s="19">
        <f>D28</f>
        <v>81.25</v>
      </c>
      <c r="F28" s="19">
        <f>E28</f>
        <v>81.25</v>
      </c>
      <c r="G28" s="19">
        <f>F28</f>
        <v>81.25</v>
      </c>
      <c r="H28" s="19"/>
      <c r="I28" s="1" t="s">
        <v>123</v>
      </c>
    </row>
    <row r="29" spans="1:9">
      <c r="A29" s="3" t="s">
        <v>1</v>
      </c>
      <c r="B29" s="28"/>
      <c r="C29" s="4" t="s">
        <v>23</v>
      </c>
      <c r="D29" s="19"/>
      <c r="E29" s="19"/>
      <c r="F29" s="19"/>
      <c r="G29" s="19"/>
      <c r="H29" s="19"/>
    </row>
    <row r="30" spans="1:9">
      <c r="A30" s="3" t="s">
        <v>2</v>
      </c>
      <c r="B30" s="28">
        <f>20*1000/1000</f>
        <v>20</v>
      </c>
      <c r="C30" s="4" t="s">
        <v>24</v>
      </c>
      <c r="D30" s="19">
        <f>B30*5</f>
        <v>100</v>
      </c>
      <c r="E30" s="19">
        <f>D30</f>
        <v>100</v>
      </c>
      <c r="F30" s="19">
        <f>E30</f>
        <v>100</v>
      </c>
      <c r="G30" s="19">
        <f t="shared" ref="G30:H30" si="5">F30</f>
        <v>100</v>
      </c>
      <c r="H30" s="19">
        <f t="shared" si="5"/>
        <v>100</v>
      </c>
      <c r="I30" s="1" t="s">
        <v>37</v>
      </c>
    </row>
    <row r="31" spans="1:9">
      <c r="A31" s="3" t="s">
        <v>25</v>
      </c>
      <c r="B31" s="28">
        <f>B28*0.2</f>
        <v>13</v>
      </c>
      <c r="C31" s="4" t="s">
        <v>24</v>
      </c>
      <c r="D31" s="19">
        <f>B31*5</f>
        <v>65</v>
      </c>
      <c r="E31" s="19">
        <f>D31</f>
        <v>65</v>
      </c>
      <c r="F31" s="19">
        <f>E31</f>
        <v>65</v>
      </c>
      <c r="G31" s="19">
        <f t="shared" ref="G31" si="6">F31</f>
        <v>65</v>
      </c>
      <c r="H31" s="19">
        <f>G31</f>
        <v>65</v>
      </c>
      <c r="I31" s="1" t="s">
        <v>38</v>
      </c>
    </row>
    <row r="32" spans="1:9">
      <c r="A32" s="3" t="s">
        <v>27</v>
      </c>
      <c r="B32" s="28">
        <f>3*5000/1000</f>
        <v>15</v>
      </c>
      <c r="C32" s="4" t="s">
        <v>21</v>
      </c>
      <c r="D32" s="19">
        <f>(B32*5)/2</f>
        <v>37.5</v>
      </c>
      <c r="E32" s="19">
        <f>D32</f>
        <v>37.5</v>
      </c>
      <c r="F32" s="19"/>
      <c r="G32" s="19"/>
      <c r="H32" s="19"/>
      <c r="I32" s="1" t="s">
        <v>47</v>
      </c>
    </row>
    <row r="33" spans="1:9">
      <c r="A33" s="3" t="s">
        <v>29</v>
      </c>
      <c r="B33" s="28" t="s">
        <v>26</v>
      </c>
      <c r="C33" s="4"/>
      <c r="D33" s="19"/>
      <c r="E33" s="19"/>
      <c r="F33" s="19"/>
      <c r="G33" s="19"/>
      <c r="H33" s="19"/>
    </row>
    <row r="34" spans="1:9">
      <c r="A34" s="3" t="s">
        <v>3</v>
      </c>
      <c r="B34" s="28">
        <f>40*1000/1000</f>
        <v>40</v>
      </c>
      <c r="C34" s="4" t="s">
        <v>21</v>
      </c>
      <c r="D34" s="19">
        <f>B34*5</f>
        <v>200</v>
      </c>
      <c r="E34" s="19"/>
      <c r="F34" s="19"/>
      <c r="G34" s="19"/>
      <c r="H34" s="19"/>
      <c r="I34" s="1" t="s">
        <v>114</v>
      </c>
    </row>
    <row r="35" spans="1:9" ht="17" thickBot="1">
      <c r="A35" s="3" t="s">
        <v>4</v>
      </c>
      <c r="B35" s="28">
        <f>4*100000*0.4/1000</f>
        <v>160</v>
      </c>
      <c r="C35" s="4" t="s">
        <v>21</v>
      </c>
      <c r="D35" s="22">
        <f>B35/4*5</f>
        <v>200</v>
      </c>
      <c r="E35" s="22">
        <f>D35</f>
        <v>200</v>
      </c>
      <c r="F35" s="22">
        <f>E35</f>
        <v>200</v>
      </c>
      <c r="G35" s="22">
        <f>F35</f>
        <v>200</v>
      </c>
      <c r="H35" s="22"/>
      <c r="I35" s="1" t="s">
        <v>124</v>
      </c>
    </row>
    <row r="36" spans="1:9" ht="17" thickTop="1">
      <c r="A36" s="5"/>
      <c r="B36" s="5"/>
      <c r="C36" s="5"/>
      <c r="D36" s="23">
        <f>SUM(D28:D35)</f>
        <v>683.75</v>
      </c>
      <c r="E36" s="23">
        <f>SUM(E28:E35)</f>
        <v>483.75</v>
      </c>
      <c r="F36" s="23">
        <f>SUM(F28:F35)</f>
        <v>446.25</v>
      </c>
      <c r="G36" s="23">
        <f>SUM(G28:G35)</f>
        <v>446.25</v>
      </c>
      <c r="H36" s="23">
        <f>SUM(H28:H35)</f>
        <v>165</v>
      </c>
    </row>
    <row r="38" spans="1:9">
      <c r="A38" s="6"/>
      <c r="B38" s="7"/>
      <c r="C38" s="7"/>
    </row>
    <row r="39" spans="1:9">
      <c r="A39" s="26" t="s">
        <v>48</v>
      </c>
      <c r="B39" s="9"/>
      <c r="C39" s="9"/>
      <c r="D39" s="29">
        <f>D16-D36</f>
        <v>-683.75</v>
      </c>
      <c r="E39" s="29">
        <f>E16-E36</f>
        <v>-483.75</v>
      </c>
      <c r="F39" s="29">
        <f>F16-F36</f>
        <v>5951.7880000000005</v>
      </c>
      <c r="G39" s="29">
        <f>G16-G36</f>
        <v>12349.826000000001</v>
      </c>
      <c r="H39" s="29">
        <f>H16-H36</f>
        <v>19029.114000000001</v>
      </c>
    </row>
    <row r="40" spans="1:9">
      <c r="A40" s="26" t="s">
        <v>125</v>
      </c>
      <c r="B40" s="9"/>
      <c r="C40" s="33" t="s">
        <v>116</v>
      </c>
      <c r="D40" s="19">
        <f>D39/5</f>
        <v>-136.75</v>
      </c>
      <c r="E40" s="19">
        <f>E39/5</f>
        <v>-96.75</v>
      </c>
      <c r="F40" s="19">
        <f>F39/5</f>
        <v>1190.3576</v>
      </c>
      <c r="G40" s="19">
        <f>G39/5</f>
        <v>2469.9652000000001</v>
      </c>
      <c r="H40" s="19">
        <f>H39/5</f>
        <v>3805.8228000000004</v>
      </c>
    </row>
    <row r="41" spans="1:9">
      <c r="A41" s="6"/>
      <c r="B41" s="6"/>
      <c r="C41" s="6"/>
    </row>
    <row r="42" spans="1:9">
      <c r="E42" s="8"/>
    </row>
    <row r="43" spans="1:9">
      <c r="B43" s="8"/>
      <c r="C43" s="8"/>
      <c r="D43" s="8"/>
    </row>
    <row r="46" spans="1:9">
      <c r="B46" s="8"/>
      <c r="C46" s="8"/>
    </row>
    <row r="47" spans="1:9">
      <c r="C47" s="8"/>
    </row>
  </sheetData>
  <mergeCells count="1">
    <mergeCell ref="C18:C19"/>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18"/>
  <sheetViews>
    <sheetView zoomScale="70" zoomScaleNormal="70" workbookViewId="0">
      <selection activeCell="B10" sqref="B10:B14"/>
    </sheetView>
  </sheetViews>
  <sheetFormatPr baseColWidth="10" defaultColWidth="8.6640625" defaultRowHeight="15"/>
  <cols>
    <col min="1" max="1" width="41.5" style="14" bestFit="1" customWidth="1"/>
    <col min="2" max="12" width="30.1640625" style="14" customWidth="1"/>
    <col min="13" max="13" width="30.1640625" style="14" bestFit="1" customWidth="1"/>
    <col min="14" max="14" width="30.1640625" style="14" customWidth="1"/>
    <col min="15" max="16384" width="8.6640625" style="14"/>
  </cols>
  <sheetData>
    <row r="1" spans="1:14">
      <c r="A1" s="13" t="s">
        <v>49</v>
      </c>
    </row>
    <row r="2" spans="1:14">
      <c r="A2" s="13" t="s">
        <v>16</v>
      </c>
      <c r="B2" s="13" t="s">
        <v>15</v>
      </c>
      <c r="C2" s="13" t="s">
        <v>15</v>
      </c>
      <c r="D2" s="13" t="s">
        <v>15</v>
      </c>
      <c r="E2" s="13" t="s">
        <v>15</v>
      </c>
      <c r="F2" s="13" t="s">
        <v>15</v>
      </c>
      <c r="G2" s="13" t="s">
        <v>15</v>
      </c>
      <c r="H2" s="13"/>
      <c r="I2" s="13"/>
      <c r="J2" s="13"/>
      <c r="K2" s="13"/>
      <c r="L2" s="13"/>
      <c r="M2" s="13"/>
      <c r="N2" s="13"/>
    </row>
    <row r="3" spans="1:14">
      <c r="A3" s="13" t="s">
        <v>14</v>
      </c>
      <c r="B3" s="13" t="s">
        <v>58</v>
      </c>
      <c r="C3" s="13" t="s">
        <v>58</v>
      </c>
      <c r="D3" s="13" t="s">
        <v>58</v>
      </c>
      <c r="E3" s="13" t="s">
        <v>58</v>
      </c>
      <c r="F3" s="13" t="s">
        <v>58</v>
      </c>
      <c r="G3" s="13" t="s">
        <v>58</v>
      </c>
      <c r="H3" s="13"/>
      <c r="I3" s="13"/>
      <c r="J3" s="13"/>
      <c r="K3" s="13"/>
      <c r="L3" s="13"/>
      <c r="M3" s="13"/>
      <c r="N3" s="13"/>
    </row>
    <row r="4" spans="1:14">
      <c r="A4" s="13" t="s">
        <v>14</v>
      </c>
      <c r="B4" s="13" t="s">
        <v>11</v>
      </c>
      <c r="C4" s="13" t="s">
        <v>11</v>
      </c>
      <c r="D4" s="13" t="s">
        <v>11</v>
      </c>
      <c r="E4" s="13" t="s">
        <v>11</v>
      </c>
      <c r="F4" s="13" t="s">
        <v>11</v>
      </c>
      <c r="G4" s="13" t="s">
        <v>11</v>
      </c>
      <c r="H4" s="13"/>
      <c r="I4" s="13"/>
      <c r="J4" s="13"/>
      <c r="K4" s="13"/>
      <c r="L4" s="13"/>
      <c r="M4" s="13"/>
      <c r="N4" s="13"/>
    </row>
    <row r="5" spans="1:14">
      <c r="A5" s="13" t="s">
        <v>50</v>
      </c>
      <c r="B5" s="13" t="s">
        <v>10</v>
      </c>
      <c r="C5" s="13" t="s">
        <v>66</v>
      </c>
      <c r="D5" s="13" t="s">
        <v>67</v>
      </c>
      <c r="E5" s="13" t="s">
        <v>68</v>
      </c>
      <c r="F5" s="13" t="s">
        <v>69</v>
      </c>
      <c r="G5" s="13" t="s">
        <v>70</v>
      </c>
      <c r="H5" s="13"/>
      <c r="I5" s="13"/>
      <c r="J5" s="13"/>
      <c r="K5" s="13"/>
      <c r="L5" s="13"/>
      <c r="M5" s="13"/>
      <c r="N5" s="13"/>
    </row>
    <row r="6" spans="1:14">
      <c r="A6" s="13" t="s">
        <v>51</v>
      </c>
      <c r="B6" s="13" t="s">
        <v>9</v>
      </c>
      <c r="C6" s="13" t="s">
        <v>9</v>
      </c>
      <c r="D6" s="13" t="s">
        <v>9</v>
      </c>
      <c r="E6" s="13" t="s">
        <v>9</v>
      </c>
      <c r="F6" s="13" t="s">
        <v>9</v>
      </c>
      <c r="G6" s="13" t="s">
        <v>9</v>
      </c>
      <c r="H6" s="13"/>
      <c r="I6" s="13"/>
      <c r="J6" s="13"/>
      <c r="K6" s="13"/>
      <c r="L6" s="13"/>
      <c r="M6" s="13"/>
      <c r="N6" s="13"/>
    </row>
    <row r="7" spans="1:14">
      <c r="A7" s="13" t="s">
        <v>52</v>
      </c>
      <c r="B7" s="15">
        <f t="shared" ref="B7:B14" si="0">SUM(C7:G7)</f>
        <v>13843.7</v>
      </c>
      <c r="C7" s="53">
        <v>5654</v>
      </c>
      <c r="D7" s="15">
        <v>2447</v>
      </c>
      <c r="E7" s="15">
        <v>3400.6</v>
      </c>
      <c r="F7" s="15">
        <v>1448.1</v>
      </c>
      <c r="G7" s="15">
        <v>894</v>
      </c>
      <c r="H7" s="15"/>
      <c r="I7" s="15"/>
      <c r="J7" s="15"/>
      <c r="K7" s="15"/>
      <c r="L7" s="15"/>
      <c r="M7" s="15"/>
      <c r="N7" s="56"/>
    </row>
    <row r="8" spans="1:14">
      <c r="A8" s="13" t="s">
        <v>13</v>
      </c>
      <c r="B8" s="15">
        <f t="shared" si="0"/>
        <v>364.661</v>
      </c>
      <c r="C8" s="15">
        <v>301.5</v>
      </c>
      <c r="D8" s="15">
        <f>24.3-0.139</f>
        <v>24.161000000000001</v>
      </c>
      <c r="E8" s="15">
        <v>39</v>
      </c>
      <c r="F8" s="15"/>
      <c r="G8" s="15"/>
      <c r="H8" s="15"/>
      <c r="I8" s="15"/>
      <c r="J8" s="15"/>
      <c r="K8" s="15"/>
      <c r="L8" s="15"/>
      <c r="M8" s="15"/>
      <c r="N8" s="15"/>
    </row>
    <row r="9" spans="1:14">
      <c r="A9" s="13" t="s">
        <v>12</v>
      </c>
      <c r="B9" s="15">
        <f t="shared" si="0"/>
        <v>519.60000000000014</v>
      </c>
      <c r="C9" s="15">
        <v>64</v>
      </c>
      <c r="D9" s="15">
        <f>8.5+7.5+27.2</f>
        <v>43.2</v>
      </c>
      <c r="E9" s="15">
        <v>68.400000000000006</v>
      </c>
      <c r="F9" s="15">
        <f>9.4+8.8+162.3+30.2+4.3+1+7.5+0.4-18.7</f>
        <v>205.20000000000002</v>
      </c>
      <c r="G9" s="15">
        <v>138.80000000000001</v>
      </c>
      <c r="H9" s="15"/>
      <c r="I9" s="15"/>
      <c r="J9" s="15"/>
      <c r="K9" s="15"/>
      <c r="L9" s="15"/>
      <c r="M9" s="15"/>
      <c r="N9" s="15"/>
    </row>
    <row r="10" spans="1:14" s="18" customFormat="1">
      <c r="A10" s="16" t="s">
        <v>53</v>
      </c>
      <c r="B10" s="17">
        <f t="shared" si="0"/>
        <v>502.53899999999999</v>
      </c>
      <c r="C10" s="17">
        <f>3.6+18.1+23.2</f>
        <v>44.900000000000006</v>
      </c>
      <c r="D10" s="17">
        <f>215+0.139</f>
        <v>215.13900000000001</v>
      </c>
      <c r="E10" s="17">
        <f>101.4+60+51.3</f>
        <v>212.7</v>
      </c>
      <c r="F10" s="17">
        <f>8.8+21</f>
        <v>29.8</v>
      </c>
      <c r="G10" s="17"/>
      <c r="H10" s="17"/>
      <c r="I10" s="17"/>
      <c r="J10" s="17"/>
      <c r="K10" s="17"/>
      <c r="L10" s="17"/>
      <c r="M10" s="17"/>
      <c r="N10" s="17"/>
    </row>
    <row r="11" spans="1:14" s="18" customFormat="1">
      <c r="A11" s="16" t="s">
        <v>54</v>
      </c>
      <c r="B11" s="17">
        <f t="shared" si="0"/>
        <v>2315.2930000000001</v>
      </c>
      <c r="C11" s="17">
        <f>1003.4+64.5</f>
        <v>1067.9000000000001</v>
      </c>
      <c r="D11" s="17">
        <f>51.6+60.2+29+127.6+77.3</f>
        <v>345.7</v>
      </c>
      <c r="E11" s="17">
        <f>70+85.4+69.2+80.1+9.2+33.4+33.6</f>
        <v>380.90000000000003</v>
      </c>
      <c r="F11" s="17">
        <f>1.1+0.1+45.6+31+29.4+30+150.8+55.8</f>
        <v>343.8</v>
      </c>
      <c r="G11" s="17">
        <f>99.8+77.193</f>
        <v>176.99299999999999</v>
      </c>
      <c r="H11" s="17"/>
      <c r="I11" s="17"/>
      <c r="J11" s="17"/>
      <c r="K11" s="17"/>
      <c r="L11" s="17"/>
      <c r="M11" s="17"/>
      <c r="N11" s="17"/>
    </row>
    <row r="12" spans="1:14" s="18" customFormat="1">
      <c r="A12" s="16" t="s">
        <v>55</v>
      </c>
      <c r="B12" s="17">
        <f t="shared" si="0"/>
        <v>51.699999999999989</v>
      </c>
      <c r="C12" s="17"/>
      <c r="D12" s="17">
        <v>2.8</v>
      </c>
      <c r="E12" s="17">
        <f>25.9+19.7</f>
        <v>45.599999999999994</v>
      </c>
      <c r="F12" s="17">
        <f>3.3</f>
        <v>3.3</v>
      </c>
      <c r="G12" s="17"/>
      <c r="H12" s="17"/>
      <c r="I12" s="17"/>
      <c r="J12" s="17"/>
      <c r="K12" s="17"/>
      <c r="L12" s="17"/>
      <c r="M12" s="17"/>
      <c r="N12" s="17"/>
    </row>
    <row r="13" spans="1:14" s="18" customFormat="1">
      <c r="A13" s="16" t="s">
        <v>56</v>
      </c>
      <c r="B13" s="17">
        <f t="shared" si="0"/>
        <v>385.40000000000003</v>
      </c>
      <c r="C13" s="17">
        <f>342.8-23.2+18.2</f>
        <v>337.8</v>
      </c>
      <c r="D13" s="17"/>
      <c r="E13" s="17">
        <f>37.6+10</f>
        <v>47.6</v>
      </c>
      <c r="F13" s="17"/>
      <c r="G13" s="17"/>
      <c r="H13" s="17"/>
      <c r="I13" s="17"/>
      <c r="J13" s="17"/>
      <c r="K13" s="17"/>
      <c r="L13" s="17"/>
      <c r="M13" s="17"/>
      <c r="N13" s="17"/>
    </row>
    <row r="14" spans="1:14" s="18" customFormat="1">
      <c r="A14" s="16" t="s">
        <v>57</v>
      </c>
      <c r="B14" s="17">
        <f t="shared" si="0"/>
        <v>1367</v>
      </c>
      <c r="C14" s="17">
        <v>843.7</v>
      </c>
      <c r="D14" s="17">
        <v>104.3</v>
      </c>
      <c r="E14" s="17">
        <f>149.3+92.3</f>
        <v>241.60000000000002</v>
      </c>
      <c r="F14" s="17">
        <f>81.5+12.3+35.6</f>
        <v>129.4</v>
      </c>
      <c r="G14" s="17">
        <v>48</v>
      </c>
      <c r="H14" s="17"/>
      <c r="I14" s="17"/>
      <c r="J14" s="17"/>
      <c r="K14" s="17"/>
      <c r="L14" s="17"/>
      <c r="M14" s="17"/>
      <c r="N14" s="17"/>
    </row>
    <row r="15" spans="1:14" s="54" customFormat="1">
      <c r="A15" s="52"/>
      <c r="B15" s="53"/>
      <c r="C15" s="53"/>
      <c r="D15" s="53"/>
      <c r="E15" s="53"/>
      <c r="F15" s="53"/>
      <c r="G15" s="53"/>
      <c r="H15" s="53"/>
      <c r="I15" s="53"/>
      <c r="J15" s="53"/>
      <c r="K15" s="53"/>
      <c r="L15" s="53"/>
      <c r="M15" s="53"/>
      <c r="N15" s="53"/>
    </row>
    <row r="16" spans="1:14" s="54" customFormat="1">
      <c r="A16" s="52"/>
      <c r="B16" s="53"/>
      <c r="C16" s="53"/>
      <c r="D16" s="53"/>
      <c r="E16" s="53"/>
      <c r="F16" s="53"/>
      <c r="G16" s="53"/>
      <c r="H16" s="53"/>
      <c r="I16" s="53"/>
      <c r="J16" s="53"/>
      <c r="K16" s="53"/>
      <c r="L16" s="53"/>
      <c r="M16" s="53"/>
      <c r="N16" s="53"/>
    </row>
    <row r="17" spans="1:7" s="54" customFormat="1"/>
    <row r="18" spans="1:7">
      <c r="B18" s="14">
        <f>B10+B11+B12+B16</f>
        <v>2869.5320000000002</v>
      </c>
      <c r="C18" s="14">
        <f>SUM(C10:C14)</f>
        <v>2294.3000000000002</v>
      </c>
      <c r="D18" s="14">
        <f>SUM(D10:D14)</f>
        <v>667.93899999999985</v>
      </c>
      <c r="E18" s="14">
        <f>SUM(E10:E14)</f>
        <v>928.40000000000009</v>
      </c>
      <c r="F18" s="14">
        <f>SUM(F10:F14)</f>
        <v>506.30000000000007</v>
      </c>
      <c r="G18" s="14">
        <f>SUM(G10:G14)</f>
        <v>224.99299999999999</v>
      </c>
    </row>
    <row r="19" spans="1:7">
      <c r="A19" s="14" t="s">
        <v>17</v>
      </c>
    </row>
    <row r="20" spans="1:7">
      <c r="A20" s="14" t="s">
        <v>65</v>
      </c>
    </row>
    <row r="26" spans="1:7" ht="16">
      <c r="A26" s="11" t="s">
        <v>53</v>
      </c>
    </row>
    <row r="27" spans="1:7" ht="16">
      <c r="A27" s="12"/>
    </row>
    <row r="28" spans="1:7" ht="16">
      <c r="A28" s="12" t="s">
        <v>59</v>
      </c>
    </row>
    <row r="29" spans="1:7" ht="16">
      <c r="A29" s="12" t="s">
        <v>86</v>
      </c>
    </row>
    <row r="30" spans="1:7" ht="16">
      <c r="A30" s="12" t="s">
        <v>87</v>
      </c>
    </row>
    <row r="31" spans="1:7" ht="16">
      <c r="A31" s="12" t="s">
        <v>80</v>
      </c>
    </row>
    <row r="32" spans="1:7" ht="16">
      <c r="A32" s="12" t="s">
        <v>94</v>
      </c>
    </row>
    <row r="33" spans="1:1" ht="16">
      <c r="A33" s="12" t="s">
        <v>105</v>
      </c>
    </row>
    <row r="34" spans="1:1" ht="16">
      <c r="A34" s="55" t="s">
        <v>106</v>
      </c>
    </row>
    <row r="35" spans="1:1" ht="16">
      <c r="A35"/>
    </row>
    <row r="36" spans="1:1" ht="16">
      <c r="A36" s="11" t="s">
        <v>56</v>
      </c>
    </row>
    <row r="37" spans="1:1" ht="16">
      <c r="A37" s="12"/>
    </row>
    <row r="38" spans="1:1" ht="16">
      <c r="A38" s="12" t="s">
        <v>60</v>
      </c>
    </row>
    <row r="39" spans="1:1" ht="16">
      <c r="A39" s="12" t="s">
        <v>78</v>
      </c>
    </row>
    <row r="40" spans="1:1" ht="16">
      <c r="A40" s="12" t="s">
        <v>79</v>
      </c>
    </row>
    <row r="41" spans="1:1" ht="16">
      <c r="A41" s="12" t="s">
        <v>93</v>
      </c>
    </row>
    <row r="42" spans="1:1" ht="16">
      <c r="A42" s="12" t="s">
        <v>108</v>
      </c>
    </row>
    <row r="43" spans="1:1" ht="16">
      <c r="A43" s="12"/>
    </row>
    <row r="44" spans="1:1" ht="16">
      <c r="A44" s="12"/>
    </row>
    <row r="45" spans="1:1" ht="16">
      <c r="A45"/>
    </row>
    <row r="46" spans="1:1" ht="16">
      <c r="A46"/>
    </row>
    <row r="47" spans="1:1" ht="16">
      <c r="A47" s="11" t="s">
        <v>61</v>
      </c>
    </row>
    <row r="48" spans="1:1" ht="16">
      <c r="A48" s="12"/>
    </row>
    <row r="49" spans="1:1" ht="16">
      <c r="A49" s="12" t="s">
        <v>62</v>
      </c>
    </row>
    <row r="50" spans="1:1" ht="16">
      <c r="A50" s="12" t="s">
        <v>88</v>
      </c>
    </row>
    <row r="51" spans="1:1" ht="16">
      <c r="A51" s="12" t="s">
        <v>89</v>
      </c>
    </row>
    <row r="52" spans="1:1" ht="16">
      <c r="A52" s="12" t="s">
        <v>90</v>
      </c>
    </row>
    <row r="53" spans="1:1" ht="16">
      <c r="A53" s="12" t="s">
        <v>91</v>
      </c>
    </row>
    <row r="54" spans="1:1" ht="16">
      <c r="A54" s="12" t="s">
        <v>92</v>
      </c>
    </row>
    <row r="55" spans="1:1">
      <c r="A55" s="14" t="s">
        <v>95</v>
      </c>
    </row>
    <row r="56" spans="1:1" ht="16">
      <c r="A56" s="55" t="s">
        <v>97</v>
      </c>
    </row>
    <row r="57" spans="1:1" ht="16">
      <c r="A57" s="12" t="s">
        <v>98</v>
      </c>
    </row>
    <row r="58" spans="1:1" ht="16">
      <c r="A58" s="12" t="s">
        <v>100</v>
      </c>
    </row>
    <row r="59" spans="1:1" ht="16">
      <c r="A59" s="12" t="s">
        <v>103</v>
      </c>
    </row>
    <row r="60" spans="1:1" ht="16">
      <c r="A60" s="12" t="s">
        <v>104</v>
      </c>
    </row>
    <row r="61" spans="1:1" ht="16">
      <c r="A61" s="12" t="s">
        <v>109</v>
      </c>
    </row>
    <row r="62" spans="1:1" ht="16">
      <c r="A62" s="12" t="s">
        <v>110</v>
      </c>
    </row>
    <row r="63" spans="1:1" ht="16">
      <c r="A63" s="12" t="s">
        <v>111</v>
      </c>
    </row>
    <row r="64" spans="1:1" ht="16">
      <c r="A64" s="12" t="s">
        <v>112</v>
      </c>
    </row>
    <row r="65" spans="1:1" ht="16">
      <c r="A65"/>
    </row>
    <row r="66" spans="1:1" ht="16">
      <c r="A66" s="11" t="s">
        <v>55</v>
      </c>
    </row>
    <row r="67" spans="1:1" ht="16">
      <c r="A67" s="12"/>
    </row>
    <row r="68" spans="1:1" ht="16">
      <c r="A68" s="12" t="s">
        <v>63</v>
      </c>
    </row>
    <row r="69" spans="1:1" ht="16">
      <c r="A69" s="12" t="s">
        <v>99</v>
      </c>
    </row>
    <row r="70" spans="1:1" ht="16">
      <c r="A70" s="12"/>
    </row>
    <row r="71" spans="1:1" ht="16">
      <c r="A71" s="12"/>
    </row>
    <row r="72" spans="1:1" ht="16">
      <c r="A72" s="12"/>
    </row>
    <row r="73" spans="1:1" ht="16">
      <c r="A73" s="12"/>
    </row>
    <row r="74" spans="1:1" ht="16">
      <c r="A74" s="12"/>
    </row>
    <row r="75" spans="1:1" ht="16">
      <c r="A75" s="12"/>
    </row>
    <row r="76" spans="1:1" ht="16">
      <c r="A76" s="11" t="s">
        <v>57</v>
      </c>
    </row>
    <row r="77" spans="1:1" ht="16">
      <c r="A77" s="12"/>
    </row>
    <row r="78" spans="1:1" ht="16">
      <c r="A78" s="12" t="s">
        <v>64</v>
      </c>
    </row>
    <row r="79" spans="1:1" ht="16">
      <c r="A79" s="12" t="s">
        <v>81</v>
      </c>
    </row>
    <row r="80" spans="1:1" ht="16">
      <c r="A80" s="12" t="s">
        <v>82</v>
      </c>
    </row>
    <row r="81" spans="1:1" ht="16">
      <c r="A81" s="12" t="s">
        <v>83</v>
      </c>
    </row>
    <row r="82" spans="1:1" ht="16">
      <c r="A82" s="12" t="s">
        <v>84</v>
      </c>
    </row>
    <row r="83" spans="1:1" ht="16">
      <c r="A83" s="55" t="s">
        <v>85</v>
      </c>
    </row>
    <row r="84" spans="1:1" ht="16">
      <c r="A84" s="55" t="s">
        <v>96</v>
      </c>
    </row>
    <row r="85" spans="1:1" ht="16">
      <c r="A85" s="12" t="s">
        <v>101</v>
      </c>
    </row>
    <row r="86" spans="1:1" ht="16">
      <c r="A86" s="12" t="s">
        <v>102</v>
      </c>
    </row>
    <row r="87" spans="1:1" ht="16">
      <c r="A87" s="12" t="s">
        <v>107</v>
      </c>
    </row>
    <row r="88" spans="1:1" ht="16">
      <c r="A88"/>
    </row>
    <row r="89" spans="1:1" ht="16">
      <c r="A89"/>
    </row>
    <row r="90" spans="1:1" ht="16">
      <c r="A90"/>
    </row>
    <row r="91" spans="1:1" ht="16">
      <c r="A91"/>
    </row>
    <row r="92" spans="1:1" ht="16">
      <c r="A92"/>
    </row>
    <row r="93" spans="1:1" ht="16">
      <c r="A93"/>
    </row>
    <row r="94" spans="1:1" ht="16">
      <c r="A94"/>
    </row>
    <row r="95" spans="1:1" ht="16">
      <c r="A95"/>
    </row>
    <row r="96" spans="1:1" ht="16">
      <c r="A96"/>
    </row>
    <row r="97" spans="1:1" ht="16">
      <c r="A97"/>
    </row>
    <row r="98" spans="1:1" ht="16">
      <c r="A98"/>
    </row>
    <row r="99" spans="1:1" ht="16">
      <c r="A99"/>
    </row>
    <row r="100" spans="1:1" ht="16">
      <c r="A100"/>
    </row>
    <row r="101" spans="1:1" ht="16">
      <c r="A101"/>
    </row>
    <row r="102" spans="1:1" ht="16">
      <c r="A102"/>
    </row>
    <row r="103" spans="1:1" ht="16">
      <c r="A103"/>
    </row>
    <row r="104" spans="1:1" ht="16">
      <c r="A104"/>
    </row>
    <row r="105" spans="1:1" ht="16">
      <c r="A105"/>
    </row>
    <row r="106" spans="1:1" ht="16">
      <c r="A106"/>
    </row>
    <row r="107" spans="1:1" ht="16">
      <c r="A107"/>
    </row>
    <row r="108" spans="1:1" ht="16">
      <c r="A108"/>
    </row>
    <row r="109" spans="1:1" ht="16">
      <c r="A109"/>
    </row>
    <row r="110" spans="1:1" ht="16">
      <c r="A110"/>
    </row>
    <row r="111" spans="1:1" ht="16">
      <c r="A111"/>
    </row>
    <row r="112" spans="1:1" ht="16">
      <c r="A112"/>
    </row>
    <row r="113" spans="1:1" ht="16">
      <c r="A113"/>
    </row>
    <row r="114" spans="1:1" ht="16">
      <c r="A114"/>
    </row>
    <row r="115" spans="1:1" ht="16">
      <c r="A115"/>
    </row>
    <row r="116" spans="1:1" ht="16">
      <c r="A116"/>
    </row>
    <row r="117" spans="1:1" ht="16">
      <c r="A117"/>
    </row>
    <row r="118" spans="1:1" ht="16">
      <c r="A118"/>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04BC5-0DFA-4E36-A2DF-02E2651121DD}">
  <dimension ref="A1:I46"/>
  <sheetViews>
    <sheetView showGridLines="0" topLeftCell="A13" zoomScale="114" zoomScaleNormal="114" workbookViewId="0">
      <selection activeCell="E43" sqref="E43"/>
    </sheetView>
  </sheetViews>
  <sheetFormatPr baseColWidth="10" defaultColWidth="10.6640625" defaultRowHeight="16"/>
  <cols>
    <col min="1" max="1" width="61.6640625" style="1" customWidth="1"/>
    <col min="2" max="2" width="18.6640625" style="1" customWidth="1"/>
    <col min="3" max="3" width="20.1640625" style="1" customWidth="1"/>
    <col min="4" max="8" width="17.1640625" style="1" customWidth="1"/>
    <col min="9" max="9" width="255.6640625" style="1" bestFit="1" customWidth="1"/>
    <col min="10" max="10" width="10.6640625" style="1"/>
    <col min="11" max="11" width="14" style="1" customWidth="1"/>
    <col min="12" max="16384" width="10.6640625" style="1"/>
  </cols>
  <sheetData>
    <row r="1" spans="1:9" ht="24">
      <c r="A1" s="45" t="s">
        <v>28</v>
      </c>
    </row>
    <row r="2" spans="1:9">
      <c r="A2" s="41" t="s">
        <v>35</v>
      </c>
    </row>
    <row r="3" spans="1:9">
      <c r="A3" s="41"/>
    </row>
    <row r="4" spans="1:9" s="38" customFormat="1">
      <c r="A4" s="38" t="s">
        <v>33</v>
      </c>
    </row>
    <row r="5" spans="1:9">
      <c r="A5" s="24" t="s">
        <v>6</v>
      </c>
    </row>
    <row r="6" spans="1:9" ht="16.25" customHeight="1">
      <c r="A6" s="25" t="s">
        <v>18</v>
      </c>
    </row>
    <row r="7" spans="1:9">
      <c r="A7" s="49" t="s">
        <v>22</v>
      </c>
    </row>
    <row r="9" spans="1:9">
      <c r="A9" s="26" t="s">
        <v>36</v>
      </c>
      <c r="B9" s="9"/>
      <c r="C9" s="9"/>
      <c r="D9" s="9">
        <v>2018</v>
      </c>
      <c r="E9" s="9">
        <v>2019</v>
      </c>
      <c r="F9" s="9">
        <v>2020</v>
      </c>
      <c r="G9" s="9">
        <v>2021</v>
      </c>
      <c r="H9" s="9">
        <v>2022</v>
      </c>
    </row>
    <row r="10" spans="1:9">
      <c r="A10" s="2" t="s">
        <v>31</v>
      </c>
      <c r="B10" s="2" t="s">
        <v>30</v>
      </c>
      <c r="C10" s="2" t="s">
        <v>5</v>
      </c>
      <c r="D10" s="2"/>
      <c r="E10" s="34">
        <v>0</v>
      </c>
      <c r="F10" s="34">
        <v>0.1</v>
      </c>
      <c r="G10" s="34">
        <v>0.2</v>
      </c>
      <c r="H10" s="34">
        <v>0.3</v>
      </c>
      <c r="I10" s="43" t="s">
        <v>32</v>
      </c>
    </row>
    <row r="11" spans="1:9" ht="17">
      <c r="A11" s="57" t="s">
        <v>53</v>
      </c>
      <c r="B11" s="20">
        <f>'Bijlage data (klein)'!B10*1000</f>
        <v>100600</v>
      </c>
      <c r="C11" s="21">
        <v>0.3</v>
      </c>
      <c r="D11" s="31"/>
      <c r="E11" s="31">
        <f>$B11*$C11*$B18*E$10</f>
        <v>0</v>
      </c>
      <c r="F11" s="36">
        <f>$B11*$C11*$B18*F$10</f>
        <v>150.9</v>
      </c>
      <c r="G11" s="36">
        <f>$B11*$C11*$B18*G$10</f>
        <v>301.8</v>
      </c>
      <c r="H11" s="36">
        <f>$B11*$C11*$B18*H$10</f>
        <v>452.7</v>
      </c>
      <c r="I11" s="50" t="s">
        <v>127</v>
      </c>
    </row>
    <row r="12" spans="1:9" ht="17">
      <c r="A12" s="57" t="s">
        <v>54</v>
      </c>
      <c r="B12" s="20">
        <f>'Bijlage data (klein)'!B11*1000</f>
        <v>121000</v>
      </c>
      <c r="C12" s="21">
        <v>0.3</v>
      </c>
      <c r="D12" s="31"/>
      <c r="E12" s="31">
        <f>$B12*$C12*$B19*E$10</f>
        <v>0</v>
      </c>
      <c r="F12" s="36">
        <f t="shared" ref="F12:H15" si="0">$B12*$C12*$B19*F$10</f>
        <v>181.5</v>
      </c>
      <c r="G12" s="36">
        <f t="shared" si="0"/>
        <v>363</v>
      </c>
      <c r="H12" s="36">
        <f t="shared" si="0"/>
        <v>544.5</v>
      </c>
      <c r="I12" s="50" t="s">
        <v>128</v>
      </c>
    </row>
    <row r="13" spans="1:9">
      <c r="A13" s="57" t="s">
        <v>55</v>
      </c>
      <c r="B13" s="20">
        <f>'Bijlage data (klein)'!B12*1000</f>
        <v>700</v>
      </c>
      <c r="C13" s="21">
        <v>0.05</v>
      </c>
      <c r="D13" s="31"/>
      <c r="E13" s="31">
        <f>$B13*$C13*$B20*E$10</f>
        <v>0</v>
      </c>
      <c r="F13" s="36">
        <f t="shared" si="0"/>
        <v>7.0000000000000007E-2</v>
      </c>
      <c r="G13" s="36">
        <f t="shared" si="0"/>
        <v>0.14000000000000001</v>
      </c>
      <c r="H13" s="36">
        <f t="shared" si="0"/>
        <v>0.21000000000000002</v>
      </c>
      <c r="I13" s="37" t="s">
        <v>126</v>
      </c>
    </row>
    <row r="14" spans="1:9" ht="17">
      <c r="A14" s="57" t="s">
        <v>56</v>
      </c>
      <c r="B14" s="20">
        <f>'Bijlage data (klein)'!B13*1000</f>
        <v>14600</v>
      </c>
      <c r="C14" s="21">
        <v>0.15</v>
      </c>
      <c r="D14" s="31">
        <f>$B14*$C14*$B21*D$10</f>
        <v>0</v>
      </c>
      <c r="E14" s="31">
        <f>$B14*$C14*$B21*E$10</f>
        <v>0</v>
      </c>
      <c r="F14" s="36">
        <f t="shared" si="0"/>
        <v>4.3800000000000008</v>
      </c>
      <c r="G14" s="36">
        <f t="shared" si="0"/>
        <v>8.7600000000000016</v>
      </c>
      <c r="H14" s="36">
        <f t="shared" si="0"/>
        <v>13.14</v>
      </c>
      <c r="I14" s="50" t="s">
        <v>129</v>
      </c>
    </row>
    <row r="15" spans="1:9" ht="18" thickBot="1">
      <c r="A15" s="57" t="s">
        <v>57</v>
      </c>
      <c r="B15" s="20">
        <f>'Bijlage data (klein)'!B14*1000</f>
        <v>64200</v>
      </c>
      <c r="C15" s="21">
        <v>0.3</v>
      </c>
      <c r="D15" s="32">
        <f>$B15*$C15*$B22*D$10</f>
        <v>0</v>
      </c>
      <c r="E15" s="32">
        <f>$B15*$C15*$B22*E$10</f>
        <v>0</v>
      </c>
      <c r="F15" s="39">
        <f>$B15*$C15*$B22*F$10</f>
        <v>96.300000000000011</v>
      </c>
      <c r="G15" s="39">
        <f t="shared" si="0"/>
        <v>192.60000000000002</v>
      </c>
      <c r="H15" s="39">
        <f t="shared" si="0"/>
        <v>288.89999999999998</v>
      </c>
      <c r="I15" s="50" t="s">
        <v>128</v>
      </c>
    </row>
    <row r="16" spans="1:9" ht="17" thickTop="1">
      <c r="A16" s="5"/>
      <c r="B16" s="5"/>
      <c r="C16" s="5"/>
      <c r="D16" s="30">
        <f t="shared" ref="D16:E16" si="1">SUM(D11:D15)</f>
        <v>0</v>
      </c>
      <c r="E16" s="30">
        <f t="shared" si="1"/>
        <v>0</v>
      </c>
      <c r="F16" s="40">
        <f>SUM(F11:F15)</f>
        <v>433.15</v>
      </c>
      <c r="G16" s="40">
        <f t="shared" ref="G16:H16" si="2">SUM(G11:G15)</f>
        <v>866.3</v>
      </c>
      <c r="H16" s="40">
        <f t="shared" si="2"/>
        <v>1299.45</v>
      </c>
    </row>
    <row r="17" spans="1:9">
      <c r="A17" s="2" t="s">
        <v>40</v>
      </c>
      <c r="B17" s="2"/>
      <c r="I17" s="42"/>
    </row>
    <row r="18" spans="1:9">
      <c r="A18" s="57" t="s">
        <v>117</v>
      </c>
      <c r="B18" s="35">
        <v>0.05</v>
      </c>
      <c r="C18" s="59"/>
    </row>
    <row r="19" spans="1:9">
      <c r="A19" s="57" t="s">
        <v>118</v>
      </c>
      <c r="B19" s="35">
        <v>0.05</v>
      </c>
      <c r="C19" s="59"/>
    </row>
    <row r="20" spans="1:9">
      <c r="A20" s="57" t="s">
        <v>119</v>
      </c>
      <c r="B20" s="35">
        <v>0.02</v>
      </c>
    </row>
    <row r="21" spans="1:9">
      <c r="A21" s="57" t="s">
        <v>120</v>
      </c>
      <c r="B21" s="35">
        <v>0.02</v>
      </c>
    </row>
    <row r="22" spans="1:9">
      <c r="A22" s="57" t="s">
        <v>121</v>
      </c>
      <c r="B22" s="35">
        <v>0.05</v>
      </c>
    </row>
    <row r="26" spans="1:9">
      <c r="A26" s="26" t="s">
        <v>34</v>
      </c>
      <c r="B26" s="9"/>
      <c r="C26" s="9"/>
      <c r="D26" s="9">
        <v>2018</v>
      </c>
      <c r="E26" s="9">
        <v>2019</v>
      </c>
      <c r="F26" s="9">
        <v>2020</v>
      </c>
      <c r="G26" s="9">
        <v>2021</v>
      </c>
      <c r="H26" s="9">
        <v>2022</v>
      </c>
    </row>
    <row r="27" spans="1:9">
      <c r="A27" s="2" t="s">
        <v>20</v>
      </c>
      <c r="B27" s="2" t="s">
        <v>113</v>
      </c>
      <c r="C27" s="2" t="s">
        <v>19</v>
      </c>
      <c r="D27" s="2"/>
      <c r="E27" s="2"/>
      <c r="F27" s="2"/>
      <c r="G27" s="2"/>
      <c r="H27" s="2"/>
      <c r="I27" s="43" t="s">
        <v>32</v>
      </c>
    </row>
    <row r="28" spans="1:9">
      <c r="A28" s="3" t="s">
        <v>0</v>
      </c>
      <c r="B28" s="28">
        <f>13*5000/1000</f>
        <v>65</v>
      </c>
      <c r="C28" s="27" t="s">
        <v>21</v>
      </c>
      <c r="D28" s="19">
        <f>B28/4*7</f>
        <v>113.75</v>
      </c>
      <c r="E28" s="19">
        <f>D28</f>
        <v>113.75</v>
      </c>
      <c r="F28" s="19">
        <f>E28</f>
        <v>113.75</v>
      </c>
      <c r="G28" s="19">
        <f>F28</f>
        <v>113.75</v>
      </c>
      <c r="H28" s="19"/>
      <c r="I28" s="1" t="s">
        <v>123</v>
      </c>
    </row>
    <row r="29" spans="1:9">
      <c r="A29" s="3" t="s">
        <v>1</v>
      </c>
      <c r="B29" s="28"/>
      <c r="C29" s="4" t="s">
        <v>23</v>
      </c>
      <c r="D29" s="19"/>
      <c r="E29" s="19"/>
      <c r="F29" s="19"/>
      <c r="G29" s="19"/>
      <c r="H29" s="19"/>
    </row>
    <row r="30" spans="1:9">
      <c r="A30" s="3" t="s">
        <v>2</v>
      </c>
      <c r="B30" s="28">
        <v>5</v>
      </c>
      <c r="C30" s="4" t="s">
        <v>24</v>
      </c>
      <c r="D30" s="19">
        <f>B30*7</f>
        <v>35</v>
      </c>
      <c r="E30" s="19">
        <f>D30</f>
        <v>35</v>
      </c>
      <c r="F30" s="19">
        <f>E30</f>
        <v>35</v>
      </c>
      <c r="G30" s="19">
        <f t="shared" ref="G30:H31" si="3">F30</f>
        <v>35</v>
      </c>
      <c r="H30" s="19">
        <f t="shared" si="3"/>
        <v>35</v>
      </c>
      <c r="I30" s="1" t="s">
        <v>131</v>
      </c>
    </row>
    <row r="31" spans="1:9">
      <c r="A31" s="3" t="s">
        <v>25</v>
      </c>
      <c r="B31" s="28">
        <f>B28*0.2</f>
        <v>13</v>
      </c>
      <c r="C31" s="4" t="s">
        <v>24</v>
      </c>
      <c r="D31" s="19">
        <f>B31*7</f>
        <v>91</v>
      </c>
      <c r="E31" s="19">
        <f>D31</f>
        <v>91</v>
      </c>
      <c r="F31" s="19">
        <f>E31</f>
        <v>91</v>
      </c>
      <c r="G31" s="19">
        <f t="shared" si="3"/>
        <v>91</v>
      </c>
      <c r="H31" s="19">
        <f>G31</f>
        <v>91</v>
      </c>
      <c r="I31" s="1" t="s">
        <v>38</v>
      </c>
    </row>
    <row r="32" spans="1:9">
      <c r="A32" s="3" t="s">
        <v>27</v>
      </c>
      <c r="B32" s="28">
        <f>3*5000/1000</f>
        <v>15</v>
      </c>
      <c r="C32" s="4" t="s">
        <v>21</v>
      </c>
      <c r="D32" s="19">
        <f>B32*7/2</f>
        <v>52.5</v>
      </c>
      <c r="E32" s="19">
        <f>D32</f>
        <v>52.5</v>
      </c>
      <c r="F32" s="19"/>
      <c r="G32" s="19"/>
      <c r="H32" s="19"/>
      <c r="I32" s="1" t="s">
        <v>47</v>
      </c>
    </row>
    <row r="33" spans="1:9">
      <c r="A33" s="3" t="s">
        <v>29</v>
      </c>
      <c r="B33" s="28" t="s">
        <v>26</v>
      </c>
      <c r="C33" s="4"/>
      <c r="D33" s="19"/>
      <c r="E33" s="19"/>
      <c r="F33" s="19"/>
      <c r="G33" s="19"/>
      <c r="H33" s="19"/>
    </row>
    <row r="34" spans="1:9">
      <c r="A34" s="3" t="s">
        <v>3</v>
      </c>
      <c r="B34" s="28">
        <f>20*1000/1000</f>
        <v>20</v>
      </c>
      <c r="C34" s="4" t="s">
        <v>21</v>
      </c>
      <c r="D34" s="19">
        <f>B34*7</f>
        <v>140</v>
      </c>
      <c r="E34" s="19"/>
      <c r="F34" s="19"/>
      <c r="G34" s="19"/>
      <c r="H34" s="19"/>
      <c r="I34" s="1" t="s">
        <v>132</v>
      </c>
    </row>
    <row r="35" spans="1:9" ht="17" thickBot="1">
      <c r="A35" s="3" t="s">
        <v>4</v>
      </c>
      <c r="B35" s="28">
        <f>4*25000*0.4/1000</f>
        <v>40</v>
      </c>
      <c r="C35" s="4" t="s">
        <v>21</v>
      </c>
      <c r="D35" s="22">
        <f>B35/4*7</f>
        <v>70</v>
      </c>
      <c r="E35" s="22">
        <f>D35</f>
        <v>70</v>
      </c>
      <c r="F35" s="22">
        <f>E35</f>
        <v>70</v>
      </c>
      <c r="G35" s="22">
        <f>F35</f>
        <v>70</v>
      </c>
      <c r="H35" s="22"/>
      <c r="I35" s="1" t="s">
        <v>124</v>
      </c>
    </row>
    <row r="36" spans="1:9" ht="17" thickTop="1">
      <c r="A36" s="5"/>
      <c r="B36" s="5"/>
      <c r="C36" s="5"/>
      <c r="D36" s="23">
        <f>SUM(D28:D35)</f>
        <v>502.25</v>
      </c>
      <c r="E36" s="23">
        <f>SUM(E28:E35)</f>
        <v>362.25</v>
      </c>
      <c r="F36" s="23">
        <f>SUM(F28:F35)</f>
        <v>309.75</v>
      </c>
      <c r="G36" s="23">
        <f>SUM(G28:G35)</f>
        <v>309.75</v>
      </c>
      <c r="H36" s="23">
        <f>SUM(H28:H35)</f>
        <v>126</v>
      </c>
    </row>
    <row r="38" spans="1:9">
      <c r="A38" s="6"/>
      <c r="B38" s="7"/>
      <c r="C38" s="7"/>
    </row>
    <row r="39" spans="1:9">
      <c r="A39" s="26" t="s">
        <v>48</v>
      </c>
      <c r="B39" s="9"/>
      <c r="C39" s="9"/>
      <c r="D39" s="29">
        <f>D16-D36</f>
        <v>-502.25</v>
      </c>
      <c r="E39" s="29">
        <f>E16-E36</f>
        <v>-362.25</v>
      </c>
      <c r="F39" s="29">
        <f>F16-F36</f>
        <v>123.39999999999998</v>
      </c>
      <c r="G39" s="29">
        <f>G16-G36</f>
        <v>556.54999999999995</v>
      </c>
      <c r="H39" s="29">
        <f>H16-H36</f>
        <v>1173.45</v>
      </c>
    </row>
    <row r="40" spans="1:9">
      <c r="A40" s="26" t="s">
        <v>115</v>
      </c>
      <c r="B40" s="9"/>
      <c r="C40" s="33" t="s">
        <v>116</v>
      </c>
      <c r="D40" s="19">
        <f>D39/7</f>
        <v>-71.75</v>
      </c>
      <c r="E40" s="19">
        <f>E39/7</f>
        <v>-51.75</v>
      </c>
      <c r="F40" s="19">
        <f>F39/7</f>
        <v>17.628571428571426</v>
      </c>
      <c r="G40" s="19">
        <f>G39/7</f>
        <v>79.507142857142853</v>
      </c>
      <c r="H40" s="19">
        <f>H39/7</f>
        <v>167.6357142857143</v>
      </c>
    </row>
    <row r="41" spans="1:9">
      <c r="A41" s="6"/>
      <c r="B41" s="6"/>
      <c r="C41" s="6"/>
    </row>
    <row r="43" spans="1:9">
      <c r="B43" s="8"/>
      <c r="C43" s="8"/>
      <c r="D43" s="8"/>
    </row>
    <row r="44" spans="1:9">
      <c r="E44" s="8"/>
    </row>
    <row r="46" spans="1:9">
      <c r="B46" s="8"/>
      <c r="C46" s="8"/>
    </row>
  </sheetData>
  <mergeCells count="1">
    <mergeCell ref="C18:C19"/>
  </mergeCells>
  <pageMargins left="0.7" right="0.7" top="0.75" bottom="0.75" header="0.3" footer="0.3"/>
  <pageSetup paperSize="9"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36E9E-C1A4-4FFA-8EE7-E367C30FA4B9}">
  <dimension ref="A1:I118"/>
  <sheetViews>
    <sheetView zoomScale="70" zoomScaleNormal="70" workbookViewId="0">
      <selection activeCell="D7" sqref="D7"/>
    </sheetView>
  </sheetViews>
  <sheetFormatPr baseColWidth="10" defaultColWidth="8.6640625" defaultRowHeight="15"/>
  <cols>
    <col min="1" max="1" width="41.5" style="14" bestFit="1" customWidth="1"/>
    <col min="2" max="7" width="30.1640625" style="14" customWidth="1"/>
    <col min="8" max="8" width="30.1640625" style="14" bestFit="1" customWidth="1"/>
    <col min="9" max="9" width="30.1640625" style="14" customWidth="1"/>
    <col min="10" max="16384" width="8.6640625" style="14"/>
  </cols>
  <sheetData>
    <row r="1" spans="1:9">
      <c r="A1" s="13" t="s">
        <v>49</v>
      </c>
    </row>
    <row r="2" spans="1:9">
      <c r="A2" s="13" t="s">
        <v>16</v>
      </c>
      <c r="B2" s="13" t="s">
        <v>15</v>
      </c>
      <c r="C2" s="13" t="s">
        <v>15</v>
      </c>
      <c r="D2" s="13" t="s">
        <v>15</v>
      </c>
      <c r="E2" s="13" t="s">
        <v>15</v>
      </c>
      <c r="F2" s="13" t="s">
        <v>15</v>
      </c>
      <c r="G2" s="13" t="s">
        <v>15</v>
      </c>
      <c r="H2" s="13" t="s">
        <v>15</v>
      </c>
      <c r="I2" s="13" t="s">
        <v>15</v>
      </c>
    </row>
    <row r="3" spans="1:9">
      <c r="A3" s="13" t="s">
        <v>14</v>
      </c>
      <c r="B3" s="13" t="s">
        <v>58</v>
      </c>
      <c r="C3" s="13" t="s">
        <v>58</v>
      </c>
      <c r="D3" s="13" t="s">
        <v>58</v>
      </c>
      <c r="E3" s="13" t="s">
        <v>58</v>
      </c>
      <c r="F3" s="13" t="s">
        <v>58</v>
      </c>
      <c r="G3" s="13" t="s">
        <v>58</v>
      </c>
      <c r="H3" s="13" t="s">
        <v>58</v>
      </c>
      <c r="I3" s="13" t="s">
        <v>58</v>
      </c>
    </row>
    <row r="4" spans="1:9">
      <c r="A4" s="13" t="s">
        <v>14</v>
      </c>
      <c r="B4" s="13" t="s">
        <v>11</v>
      </c>
      <c r="C4" s="13" t="s">
        <v>11</v>
      </c>
      <c r="D4" s="13" t="s">
        <v>11</v>
      </c>
      <c r="E4" s="13" t="s">
        <v>11</v>
      </c>
      <c r="F4" s="13" t="s">
        <v>11</v>
      </c>
      <c r="G4" s="13" t="s">
        <v>11</v>
      </c>
      <c r="H4" s="13" t="s">
        <v>11</v>
      </c>
      <c r="I4" s="13" t="s">
        <v>11</v>
      </c>
    </row>
    <row r="5" spans="1:9">
      <c r="A5" s="13" t="s">
        <v>50</v>
      </c>
      <c r="B5" s="13" t="s">
        <v>10</v>
      </c>
      <c r="C5" s="13" t="s">
        <v>71</v>
      </c>
      <c r="D5" s="13" t="s">
        <v>72</v>
      </c>
      <c r="E5" s="13" t="s">
        <v>73</v>
      </c>
      <c r="F5" s="13" t="s">
        <v>74</v>
      </c>
      <c r="G5" s="13" t="s">
        <v>76</v>
      </c>
      <c r="H5" s="13" t="s">
        <v>77</v>
      </c>
      <c r="I5" s="13" t="s">
        <v>75</v>
      </c>
    </row>
    <row r="6" spans="1:9">
      <c r="A6" s="13" t="s">
        <v>51</v>
      </c>
      <c r="B6" s="13" t="s">
        <v>9</v>
      </c>
      <c r="C6" s="13" t="s">
        <v>9</v>
      </c>
      <c r="D6" s="13" t="s">
        <v>9</v>
      </c>
      <c r="E6" s="13" t="s">
        <v>9</v>
      </c>
      <c r="F6" s="13" t="s">
        <v>9</v>
      </c>
      <c r="G6" s="13" t="s">
        <v>9</v>
      </c>
      <c r="H6" s="13" t="s">
        <v>9</v>
      </c>
      <c r="I6" s="13" t="s">
        <v>9</v>
      </c>
    </row>
    <row r="7" spans="1:9">
      <c r="A7" s="13" t="s">
        <v>52</v>
      </c>
      <c r="B7" s="15">
        <f t="shared" ref="B7:B14" si="0">SUM(C7:I7)</f>
        <v>1135.9000000000001</v>
      </c>
      <c r="C7" s="15">
        <v>382</v>
      </c>
      <c r="D7" s="15">
        <v>117.9</v>
      </c>
      <c r="E7" s="15">
        <v>153.9</v>
      </c>
      <c r="F7" s="15">
        <v>121</v>
      </c>
      <c r="G7" s="15">
        <v>137.69999999999999</v>
      </c>
      <c r="H7" s="15">
        <v>126.2</v>
      </c>
      <c r="I7" s="56">
        <f>5.7+35.2+32.9+23.4</f>
        <v>97.200000000000017</v>
      </c>
    </row>
    <row r="8" spans="1:9">
      <c r="A8" s="13" t="s">
        <v>13</v>
      </c>
      <c r="B8" s="15">
        <f t="shared" si="0"/>
        <v>18.399999999999999</v>
      </c>
      <c r="C8" s="15"/>
      <c r="D8" s="15"/>
      <c r="E8" s="15">
        <v>3.4</v>
      </c>
      <c r="F8" s="15"/>
      <c r="G8" s="15">
        <v>15</v>
      </c>
      <c r="H8" s="15"/>
      <c r="I8" s="15"/>
    </row>
    <row r="9" spans="1:9">
      <c r="A9" s="13" t="s">
        <v>12</v>
      </c>
      <c r="B9" s="15">
        <f t="shared" si="0"/>
        <v>112.3</v>
      </c>
      <c r="C9" s="15">
        <v>56</v>
      </c>
      <c r="D9" s="15">
        <v>2.4</v>
      </c>
      <c r="E9" s="15">
        <v>5.3</v>
      </c>
      <c r="F9" s="15">
        <v>20.7</v>
      </c>
      <c r="G9" s="15">
        <v>4.4000000000000004</v>
      </c>
      <c r="H9" s="15">
        <v>23.5</v>
      </c>
      <c r="I9" s="15"/>
    </row>
    <row r="10" spans="1:9" s="18" customFormat="1">
      <c r="A10" s="16" t="s">
        <v>53</v>
      </c>
      <c r="B10" s="17">
        <f t="shared" si="0"/>
        <v>100.6</v>
      </c>
      <c r="C10" s="17"/>
      <c r="D10" s="17">
        <f>0.7+2.8+2+4.1</f>
        <v>9.6</v>
      </c>
      <c r="E10" s="17">
        <v>15.7</v>
      </c>
      <c r="F10" s="17">
        <v>30.5</v>
      </c>
      <c r="G10" s="17">
        <v>4.3</v>
      </c>
      <c r="H10" s="17">
        <f>0.2+4.8+7.1+5</f>
        <v>17.100000000000001</v>
      </c>
      <c r="I10" s="17">
        <v>23.4</v>
      </c>
    </row>
    <row r="11" spans="1:9" s="18" customFormat="1">
      <c r="A11" s="16" t="s">
        <v>54</v>
      </c>
      <c r="B11" s="17">
        <f t="shared" si="0"/>
        <v>121</v>
      </c>
      <c r="C11" s="17">
        <v>29.4</v>
      </c>
      <c r="D11" s="17">
        <f>3+3+17.3+2</f>
        <v>25.3</v>
      </c>
      <c r="E11" s="17">
        <v>9.4</v>
      </c>
      <c r="F11" s="17">
        <v>12.1</v>
      </c>
      <c r="G11" s="17">
        <v>28.9</v>
      </c>
      <c r="H11" s="17">
        <f>4.4+5.8</f>
        <v>10.199999999999999</v>
      </c>
      <c r="I11" s="17">
        <v>5.7</v>
      </c>
    </row>
    <row r="12" spans="1:9" s="18" customFormat="1">
      <c r="A12" s="16" t="s">
        <v>55</v>
      </c>
      <c r="B12" s="17">
        <f t="shared" si="0"/>
        <v>0.7</v>
      </c>
      <c r="C12" s="17"/>
      <c r="D12" s="17">
        <v>0.7</v>
      </c>
      <c r="E12" s="17"/>
      <c r="F12" s="17"/>
      <c r="G12" s="17"/>
      <c r="H12" s="17"/>
      <c r="I12" s="17"/>
    </row>
    <row r="13" spans="1:9" s="18" customFormat="1">
      <c r="A13" s="16" t="s">
        <v>56</v>
      </c>
      <c r="B13" s="17">
        <f t="shared" si="0"/>
        <v>14.6</v>
      </c>
      <c r="C13" s="17"/>
      <c r="D13" s="17"/>
      <c r="E13" s="17"/>
      <c r="F13" s="17"/>
      <c r="G13" s="17">
        <v>14.6</v>
      </c>
      <c r="H13" s="17"/>
      <c r="I13" s="17"/>
    </row>
    <row r="14" spans="1:9" s="18" customFormat="1">
      <c r="A14" s="16" t="s">
        <v>57</v>
      </c>
      <c r="B14" s="17">
        <f t="shared" si="0"/>
        <v>64.2</v>
      </c>
      <c r="C14" s="17">
        <v>10.1</v>
      </c>
      <c r="D14" s="17">
        <f>5.9+10.6</f>
        <v>16.5</v>
      </c>
      <c r="E14" s="17">
        <v>11.5</v>
      </c>
      <c r="F14" s="17"/>
      <c r="G14" s="17">
        <v>15.4</v>
      </c>
      <c r="H14" s="17">
        <v>10.7</v>
      </c>
      <c r="I14" s="17"/>
    </row>
    <row r="15" spans="1:9" s="54" customFormat="1">
      <c r="A15" s="52"/>
      <c r="B15" s="53"/>
      <c r="C15" s="53"/>
      <c r="D15" s="53"/>
      <c r="E15" s="53"/>
      <c r="F15" s="53"/>
      <c r="G15" s="53"/>
      <c r="H15" s="53"/>
      <c r="I15" s="53"/>
    </row>
    <row r="16" spans="1:9" s="54" customFormat="1">
      <c r="A16" s="52"/>
      <c r="B16" s="53"/>
      <c r="C16" s="53"/>
      <c r="D16" s="53"/>
      <c r="E16" s="53"/>
      <c r="F16" s="53"/>
      <c r="G16" s="53"/>
      <c r="H16" s="53"/>
      <c r="I16" s="53"/>
    </row>
    <row r="17" spans="1:9" s="54" customFormat="1"/>
    <row r="18" spans="1:9">
      <c r="B18" s="14">
        <f>B10+B11+B12+B16</f>
        <v>222.29999999999998</v>
      </c>
      <c r="C18" s="14">
        <f t="shared" ref="C18:I18" si="1">SUM(C10:C14)</f>
        <v>39.5</v>
      </c>
      <c r="D18" s="14">
        <f t="shared" si="1"/>
        <v>52.1</v>
      </c>
      <c r="E18" s="14">
        <f t="shared" si="1"/>
        <v>36.6</v>
      </c>
      <c r="F18" s="14">
        <f t="shared" si="1"/>
        <v>42.6</v>
      </c>
      <c r="G18" s="14">
        <f t="shared" si="1"/>
        <v>63.199999999999996</v>
      </c>
      <c r="H18" s="14">
        <f t="shared" si="1"/>
        <v>38</v>
      </c>
      <c r="I18" s="14">
        <f t="shared" si="1"/>
        <v>29.099999999999998</v>
      </c>
    </row>
    <row r="19" spans="1:9">
      <c r="A19" s="14" t="s">
        <v>17</v>
      </c>
    </row>
    <row r="20" spans="1:9">
      <c r="A20" s="14" t="s">
        <v>65</v>
      </c>
    </row>
    <row r="26" spans="1:9" ht="16">
      <c r="A26" s="11" t="s">
        <v>53</v>
      </c>
    </row>
    <row r="27" spans="1:9" ht="16">
      <c r="A27" s="12"/>
    </row>
    <row r="28" spans="1:9" ht="16">
      <c r="A28" s="12" t="s">
        <v>59</v>
      </c>
    </row>
    <row r="29" spans="1:9" ht="16">
      <c r="A29" s="12" t="s">
        <v>86</v>
      </c>
    </row>
    <row r="30" spans="1:9" ht="16">
      <c r="A30" s="12" t="s">
        <v>87</v>
      </c>
    </row>
    <row r="31" spans="1:9" ht="16">
      <c r="A31" s="12" t="s">
        <v>80</v>
      </c>
    </row>
    <row r="32" spans="1:9" ht="16">
      <c r="A32" s="12" t="s">
        <v>94</v>
      </c>
    </row>
    <row r="33" spans="1:1" ht="16">
      <c r="A33" s="12" t="s">
        <v>105</v>
      </c>
    </row>
    <row r="34" spans="1:1" ht="16">
      <c r="A34" s="55" t="s">
        <v>106</v>
      </c>
    </row>
    <row r="35" spans="1:1" ht="16">
      <c r="A35"/>
    </row>
    <row r="36" spans="1:1" ht="16">
      <c r="A36" s="11" t="s">
        <v>56</v>
      </c>
    </row>
    <row r="37" spans="1:1" ht="16">
      <c r="A37" s="12"/>
    </row>
    <row r="38" spans="1:1" ht="16">
      <c r="A38" s="12" t="s">
        <v>60</v>
      </c>
    </row>
    <row r="39" spans="1:1" ht="16">
      <c r="A39" s="12" t="s">
        <v>78</v>
      </c>
    </row>
    <row r="40" spans="1:1" ht="16">
      <c r="A40" s="12" t="s">
        <v>79</v>
      </c>
    </row>
    <row r="41" spans="1:1" ht="16">
      <c r="A41" s="12" t="s">
        <v>93</v>
      </c>
    </row>
    <row r="42" spans="1:1" ht="16">
      <c r="A42" s="12" t="s">
        <v>108</v>
      </c>
    </row>
    <row r="43" spans="1:1" ht="16">
      <c r="A43" s="12"/>
    </row>
    <row r="44" spans="1:1" ht="16">
      <c r="A44" s="12"/>
    </row>
    <row r="45" spans="1:1" ht="16">
      <c r="A45"/>
    </row>
    <row r="46" spans="1:1" ht="16">
      <c r="A46"/>
    </row>
    <row r="47" spans="1:1" ht="16">
      <c r="A47" s="11" t="s">
        <v>61</v>
      </c>
    </row>
    <row r="48" spans="1:1" ht="16">
      <c r="A48" s="12"/>
    </row>
    <row r="49" spans="1:1" ht="16">
      <c r="A49" s="12" t="s">
        <v>62</v>
      </c>
    </row>
    <row r="50" spans="1:1" ht="16">
      <c r="A50" s="12" t="s">
        <v>88</v>
      </c>
    </row>
    <row r="51" spans="1:1" ht="16">
      <c r="A51" s="12" t="s">
        <v>89</v>
      </c>
    </row>
    <row r="52" spans="1:1" ht="16">
      <c r="A52" s="12" t="s">
        <v>90</v>
      </c>
    </row>
    <row r="53" spans="1:1" ht="16">
      <c r="A53" s="12" t="s">
        <v>91</v>
      </c>
    </row>
    <row r="54" spans="1:1" ht="16">
      <c r="A54" s="12" t="s">
        <v>92</v>
      </c>
    </row>
    <row r="55" spans="1:1">
      <c r="A55" s="14" t="s">
        <v>95</v>
      </c>
    </row>
    <row r="56" spans="1:1" ht="16">
      <c r="A56" s="55" t="s">
        <v>97</v>
      </c>
    </row>
    <row r="57" spans="1:1" ht="16">
      <c r="A57" s="12" t="s">
        <v>98</v>
      </c>
    </row>
    <row r="58" spans="1:1" ht="16">
      <c r="A58" s="12" t="s">
        <v>100</v>
      </c>
    </row>
    <row r="59" spans="1:1" ht="16">
      <c r="A59" s="12" t="s">
        <v>103</v>
      </c>
    </row>
    <row r="60" spans="1:1" ht="16">
      <c r="A60" s="12" t="s">
        <v>104</v>
      </c>
    </row>
    <row r="61" spans="1:1" ht="16">
      <c r="A61" s="12" t="s">
        <v>109</v>
      </c>
    </row>
    <row r="62" spans="1:1" ht="16">
      <c r="A62" s="12" t="s">
        <v>110</v>
      </c>
    </row>
    <row r="63" spans="1:1" ht="16">
      <c r="A63" s="12" t="s">
        <v>111</v>
      </c>
    </row>
    <row r="64" spans="1:1" ht="16">
      <c r="A64" s="12" t="s">
        <v>112</v>
      </c>
    </row>
    <row r="65" spans="1:1" ht="16">
      <c r="A65"/>
    </row>
    <row r="66" spans="1:1" ht="16">
      <c r="A66" s="11" t="s">
        <v>55</v>
      </c>
    </row>
    <row r="67" spans="1:1" ht="16">
      <c r="A67" s="12"/>
    </row>
    <row r="68" spans="1:1" ht="16">
      <c r="A68" s="12" t="s">
        <v>63</v>
      </c>
    </row>
    <row r="69" spans="1:1" ht="16">
      <c r="A69" s="12" t="s">
        <v>99</v>
      </c>
    </row>
    <row r="70" spans="1:1" ht="16">
      <c r="A70" s="12"/>
    </row>
    <row r="71" spans="1:1" ht="16">
      <c r="A71" s="12"/>
    </row>
    <row r="72" spans="1:1" ht="16">
      <c r="A72" s="12"/>
    </row>
    <row r="73" spans="1:1" ht="16">
      <c r="A73" s="12"/>
    </row>
    <row r="74" spans="1:1" ht="16">
      <c r="A74" s="12"/>
    </row>
    <row r="75" spans="1:1" ht="16">
      <c r="A75" s="12"/>
    </row>
    <row r="76" spans="1:1" ht="16">
      <c r="A76" s="11" t="s">
        <v>57</v>
      </c>
    </row>
    <row r="77" spans="1:1" ht="16">
      <c r="A77" s="12"/>
    </row>
    <row r="78" spans="1:1" ht="16">
      <c r="A78" s="12" t="s">
        <v>64</v>
      </c>
    </row>
    <row r="79" spans="1:1" ht="16">
      <c r="A79" s="12" t="s">
        <v>81</v>
      </c>
    </row>
    <row r="80" spans="1:1" ht="16">
      <c r="A80" s="12" t="s">
        <v>82</v>
      </c>
    </row>
    <row r="81" spans="1:1" ht="16">
      <c r="A81" s="12" t="s">
        <v>83</v>
      </c>
    </row>
    <row r="82" spans="1:1" ht="16">
      <c r="A82" s="12" t="s">
        <v>84</v>
      </c>
    </row>
    <row r="83" spans="1:1" ht="16">
      <c r="A83" s="55" t="s">
        <v>85</v>
      </c>
    </row>
    <row r="84" spans="1:1" ht="16">
      <c r="A84" s="55" t="s">
        <v>96</v>
      </c>
    </row>
    <row r="85" spans="1:1" ht="16">
      <c r="A85" s="12" t="s">
        <v>101</v>
      </c>
    </row>
    <row r="86" spans="1:1" ht="16">
      <c r="A86" s="12" t="s">
        <v>102</v>
      </c>
    </row>
    <row r="87" spans="1:1" ht="16">
      <c r="A87" s="12" t="s">
        <v>107</v>
      </c>
    </row>
    <row r="88" spans="1:1" ht="16">
      <c r="A88"/>
    </row>
    <row r="89" spans="1:1" ht="16">
      <c r="A89"/>
    </row>
    <row r="90" spans="1:1" ht="16">
      <c r="A90"/>
    </row>
    <row r="91" spans="1:1" ht="16">
      <c r="A91"/>
    </row>
    <row r="92" spans="1:1" ht="16">
      <c r="A92"/>
    </row>
    <row r="93" spans="1:1" ht="16">
      <c r="A93"/>
    </row>
    <row r="94" spans="1:1" ht="16">
      <c r="A94"/>
    </row>
    <row r="95" spans="1:1" ht="16">
      <c r="A95"/>
    </row>
    <row r="96" spans="1:1" ht="16">
      <c r="A96"/>
    </row>
    <row r="97" spans="1:1" ht="16">
      <c r="A97"/>
    </row>
    <row r="98" spans="1:1" ht="16">
      <c r="A98"/>
    </row>
    <row r="99" spans="1:1" ht="16">
      <c r="A99"/>
    </row>
    <row r="100" spans="1:1" ht="16">
      <c r="A100"/>
    </row>
    <row r="101" spans="1:1" ht="16">
      <c r="A101"/>
    </row>
    <row r="102" spans="1:1" ht="16">
      <c r="A102"/>
    </row>
    <row r="103" spans="1:1" ht="16">
      <c r="A103"/>
    </row>
    <row r="104" spans="1:1" ht="16">
      <c r="A104"/>
    </row>
    <row r="105" spans="1:1" ht="16">
      <c r="A105"/>
    </row>
    <row r="106" spans="1:1" ht="16">
      <c r="A106"/>
    </row>
    <row r="107" spans="1:1" ht="16">
      <c r="A107"/>
    </row>
    <row r="108" spans="1:1" ht="16">
      <c r="A108"/>
    </row>
    <row r="109" spans="1:1" ht="16">
      <c r="A109"/>
    </row>
    <row r="110" spans="1:1" ht="16">
      <c r="A110"/>
    </row>
    <row r="111" spans="1:1" ht="16">
      <c r="A111"/>
    </row>
    <row r="112" spans="1:1" ht="16">
      <c r="A112"/>
    </row>
    <row r="113" spans="1:1" ht="16">
      <c r="A113"/>
    </row>
    <row r="114" spans="1:1" ht="16">
      <c r="A114"/>
    </row>
    <row r="115" spans="1:1" ht="16">
      <c r="A115"/>
    </row>
    <row r="116" spans="1:1" ht="16">
      <c r="A116"/>
    </row>
    <row r="117" spans="1:1" ht="16">
      <c r="A117"/>
    </row>
    <row r="118" spans="1:1" ht="16">
      <c r="A118"/>
    </row>
  </sheetData>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Model (groot)</vt:lpstr>
      <vt:lpstr>Bijlage data (groot)</vt:lpstr>
      <vt:lpstr>Model (klein)</vt:lpstr>
      <vt:lpstr>Bijlage data (klein)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Office-gebruiker</dc:creator>
  <cp:lastModifiedBy>Douwe Horst</cp:lastModifiedBy>
  <dcterms:created xsi:type="dcterms:W3CDTF">2018-05-15T09:49:03Z</dcterms:created>
  <dcterms:modified xsi:type="dcterms:W3CDTF">2019-08-23T11:38:19Z</dcterms:modified>
</cp:coreProperties>
</file>